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60" windowWidth="22995" windowHeight="1080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Sheet1!$A$1:$M$71</definedName>
  </definedNames>
  <calcPr calcId="144525"/>
</workbook>
</file>

<file path=xl/calcChain.xml><?xml version="1.0" encoding="utf-8"?>
<calcChain xmlns="http://schemas.openxmlformats.org/spreadsheetml/2006/main">
  <c r="C68" i="1" l="1"/>
  <c r="K69" i="1" l="1"/>
  <c r="J70" i="1" l="1"/>
  <c r="F62" i="1" l="1"/>
  <c r="F11" i="1" l="1"/>
  <c r="E11" i="1"/>
  <c r="F19" i="1"/>
  <c r="E19" i="1"/>
  <c r="F30" i="1"/>
  <c r="E30" i="1"/>
  <c r="F56" i="1"/>
  <c r="E56" i="1"/>
  <c r="F24" i="1"/>
  <c r="E24" i="1"/>
  <c r="F57" i="1"/>
  <c r="E57" i="1"/>
  <c r="F66" i="1"/>
  <c r="E66" i="1"/>
  <c r="F55" i="1"/>
  <c r="E55" i="1"/>
  <c r="F26" i="1"/>
  <c r="E26" i="1"/>
  <c r="F67" i="1"/>
  <c r="E67" i="1"/>
  <c r="F25" i="1"/>
  <c r="E25" i="1"/>
  <c r="E62" i="1"/>
  <c r="F20" i="1"/>
  <c r="E20" i="1"/>
  <c r="F52" i="1"/>
  <c r="E52" i="1"/>
  <c r="F65" i="1"/>
  <c r="E65" i="1"/>
  <c r="F59" i="1"/>
  <c r="E59" i="1"/>
  <c r="F40" i="1"/>
  <c r="E40" i="1"/>
  <c r="F35" i="1"/>
  <c r="E35" i="1"/>
  <c r="F45" i="1"/>
  <c r="E45" i="1"/>
  <c r="F36" i="1"/>
  <c r="E36" i="1"/>
  <c r="F63" i="1"/>
  <c r="E63" i="1"/>
  <c r="F23" i="1"/>
  <c r="E23" i="1"/>
  <c r="F34" i="1"/>
  <c r="E34" i="1"/>
  <c r="F49" i="1"/>
  <c r="E49" i="1"/>
  <c r="F12" i="1"/>
  <c r="E12" i="1"/>
  <c r="F29" i="1"/>
  <c r="E29" i="1"/>
  <c r="F53" i="1"/>
  <c r="E53" i="1"/>
  <c r="F41" i="1"/>
  <c r="E41" i="1"/>
  <c r="F31" i="1"/>
  <c r="E31" i="1"/>
  <c r="F15" i="1"/>
  <c r="E15" i="1"/>
  <c r="F27" i="1"/>
  <c r="E27" i="1"/>
  <c r="F48" i="1"/>
  <c r="E48" i="1"/>
  <c r="F44" i="1"/>
  <c r="E44" i="1"/>
  <c r="F61" i="1"/>
  <c r="E61" i="1"/>
  <c r="F37" i="1"/>
  <c r="E37" i="1"/>
  <c r="F21" i="1"/>
  <c r="E21" i="1"/>
  <c r="F42" i="1"/>
  <c r="E42" i="1"/>
  <c r="F14" i="1"/>
  <c r="E14" i="1"/>
  <c r="F39" i="1"/>
  <c r="E39" i="1"/>
  <c r="F54" i="1"/>
  <c r="E54" i="1"/>
  <c r="F46" i="1"/>
  <c r="E46" i="1"/>
  <c r="F18" i="1"/>
  <c r="E18" i="1"/>
  <c r="F51" i="1"/>
  <c r="E51" i="1"/>
  <c r="F38" i="1"/>
  <c r="E38" i="1"/>
  <c r="F22" i="1"/>
  <c r="E22" i="1"/>
  <c r="F47" i="1"/>
  <c r="E47" i="1"/>
  <c r="F7" i="1"/>
  <c r="E7" i="1"/>
  <c r="F10" i="1"/>
  <c r="E10" i="1"/>
  <c r="F17" i="1"/>
  <c r="E17" i="1"/>
  <c r="F32" i="1"/>
  <c r="E32" i="1"/>
  <c r="F58" i="1"/>
  <c r="E58" i="1"/>
  <c r="F16" i="1"/>
  <c r="E16" i="1"/>
  <c r="F28" i="1"/>
  <c r="E28" i="1"/>
  <c r="F43" i="1"/>
  <c r="E43" i="1"/>
  <c r="F9" i="1"/>
  <c r="E9" i="1"/>
  <c r="F13" i="1"/>
  <c r="E13" i="1"/>
  <c r="F50" i="1"/>
  <c r="E50" i="1"/>
  <c r="F60" i="1"/>
  <c r="E60" i="1"/>
  <c r="F33" i="1"/>
  <c r="E33" i="1"/>
  <c r="F64" i="1"/>
  <c r="E64" i="1"/>
  <c r="F8" i="1"/>
  <c r="E8" i="1"/>
  <c r="G62" i="1"/>
  <c r="D70" i="1" l="1"/>
  <c r="E70" i="1"/>
  <c r="F70" i="1"/>
  <c r="G70" i="1"/>
  <c r="H70" i="1"/>
  <c r="I70" i="1"/>
  <c r="K70" i="1"/>
  <c r="L70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" i="1"/>
  <c r="C70" i="1"/>
  <c r="M70" i="1" l="1"/>
</calcChain>
</file>

<file path=xl/sharedStrings.xml><?xml version="1.0" encoding="utf-8"?>
<sst xmlns="http://schemas.openxmlformats.org/spreadsheetml/2006/main" count="81" uniqueCount="80">
  <si>
    <t>Tab.3</t>
  </si>
  <si>
    <t>Transferta e pakushtëzuar dhe specifike për bashkitë për vitin 2016</t>
  </si>
  <si>
    <t>Në mijë lekë</t>
  </si>
  <si>
    <t>NR.</t>
  </si>
  <si>
    <t xml:space="preserve">Bashkitë </t>
  </si>
  <si>
    <t>Transferta e pakushtëzuar 2016</t>
  </si>
  <si>
    <t xml:space="preserve">Transfertat specifike për financimin e funksioneve </t>
  </si>
  <si>
    <t>Totali</t>
  </si>
  <si>
    <t>Konviktet e arsimit parauniversitar</t>
  </si>
  <si>
    <t>Arsimi parashkollor</t>
  </si>
  <si>
    <t>Arsimi parauniversitar</t>
  </si>
  <si>
    <t>Mbrojtja nga zjarri</t>
  </si>
  <si>
    <t>Mbrojtja sociale</t>
  </si>
  <si>
    <t xml:space="preserve">Administrimi i pyjeve </t>
  </si>
  <si>
    <t>Rrugët</t>
  </si>
  <si>
    <t>Ujitja dhe Kullimi</t>
  </si>
  <si>
    <t>Fond për Investime</t>
  </si>
  <si>
    <t>Bashkia Belsh</t>
  </si>
  <si>
    <t>Bashkia Berat</t>
  </si>
  <si>
    <t>Bashkia Bulqizë</t>
  </si>
  <si>
    <t>Bashkia Cërrik</t>
  </si>
  <si>
    <t>Bashkia Delvinë</t>
  </si>
  <si>
    <t>Bashkia Devoll</t>
  </si>
  <si>
    <t>Bashkia Dibër</t>
  </si>
  <si>
    <t>Bashkia Divjakë</t>
  </si>
  <si>
    <t>Bashkia Dropull</t>
  </si>
  <si>
    <t>Bashkia Durrës</t>
  </si>
  <si>
    <t>Bashkia Elbasan</t>
  </si>
  <si>
    <t>Bashkia Fier</t>
  </si>
  <si>
    <t>Bashkia Finiq</t>
  </si>
  <si>
    <t>Bashkia Fushë Arrëz</t>
  </si>
  <si>
    <t>Bashkia Gjirokastër</t>
  </si>
  <si>
    <t>Bashkia Gramsh</t>
  </si>
  <si>
    <t>Bashkia Has</t>
  </si>
  <si>
    <t>Bashkia Himarë</t>
  </si>
  <si>
    <t>Bashkia Kamëz</t>
  </si>
  <si>
    <t>Bashkia Kavajë</t>
  </si>
  <si>
    <t>Bashkia Këlcyrë</t>
  </si>
  <si>
    <t>Bashkia Klos</t>
  </si>
  <si>
    <t>Bashkia Kolonjë</t>
  </si>
  <si>
    <t>Bashkia Konispol</t>
  </si>
  <si>
    <t>Bashkia Korçë</t>
  </si>
  <si>
    <t>Bashkia Krujë</t>
  </si>
  <si>
    <t>Bashkia Kuçovë</t>
  </si>
  <si>
    <t>Bashkia Kukës</t>
  </si>
  <si>
    <t>Bashkia Kurbin</t>
  </si>
  <si>
    <t>Bashkia Lezhë</t>
  </si>
  <si>
    <t>Bashkia Libohovë</t>
  </si>
  <si>
    <t>Bashkia Librazhd</t>
  </si>
  <si>
    <t>Bashkia Lushnje</t>
  </si>
  <si>
    <t>Bashkia Malësi e Madhe</t>
  </si>
  <si>
    <t>Bashkia Maliq</t>
  </si>
  <si>
    <t>Bashkia Mallakastër</t>
  </si>
  <si>
    <t>Bashkia Mat</t>
  </si>
  <si>
    <t>Bashkia Memaliaj</t>
  </si>
  <si>
    <t>Bashkia Mirditë</t>
  </si>
  <si>
    <t>Bashkia Patos</t>
  </si>
  <si>
    <t>Bashkia Peqin</t>
  </si>
  <si>
    <t>Bashkia Përmet</t>
  </si>
  <si>
    <t>Bashkia Pogradec</t>
  </si>
  <si>
    <t>Bashkia Poliçan</t>
  </si>
  <si>
    <t>Bashkia Përrenjas</t>
  </si>
  <si>
    <t>Bashkia Pukë</t>
  </si>
  <si>
    <t>Bashkia Pustec</t>
  </si>
  <si>
    <t>Bashkia Roskovec</t>
  </si>
  <si>
    <t>Bashkia Rrogozhinë</t>
  </si>
  <si>
    <t>Bashkia Sarandë</t>
  </si>
  <si>
    <t>Bashkia Selenicë</t>
  </si>
  <si>
    <t>Bashkia Shijak</t>
  </si>
  <si>
    <t>Bashkia Shkodër</t>
  </si>
  <si>
    <t>Bashkia Skrapar</t>
  </si>
  <si>
    <t>Bashkia Tepelenë</t>
  </si>
  <si>
    <t>Bashkia Tiranë</t>
  </si>
  <si>
    <t>Bashkia Tropojë</t>
  </si>
  <si>
    <t>Bashkia Ura Vajgurore</t>
  </si>
  <si>
    <t>Bashkia Vau i Dejës</t>
  </si>
  <si>
    <t>Bashkia Vlorë</t>
  </si>
  <si>
    <t>Bashkia Vorë</t>
  </si>
  <si>
    <t>Fondi për Zhvillimin e Rajoneve</t>
  </si>
  <si>
    <t xml:space="preserve">Fond për investime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</si>
</sst>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2">
    <numFmt numFmtId="43" formatCode="_-* #,##0.00_L_e_k_-;\-* #,##0.00_L_e_k_-;_-* &quot;-&quot;??_L_e_k_-;_-@_-"/>
    <numFmt numFmtId="164" formatCode="&quot;$&quot;#,##0_);\(&quot;$&quot;#,##0\)"/>
    <numFmt numFmtId="165" formatCode="_(&quot;$&quot;* #,##0_);_(&quot;$&quot;* \(#,##0\);_(&quot;$&quot;* &quot;-&quot;_);_(@_)"/>
    <numFmt numFmtId="166" formatCode="_(* #,##0_);_(* \(#,##0\);_(* &quot;-&quot;_);_(@_)"/>
    <numFmt numFmtId="167" formatCode="_(&quot;$&quot;* #,##0.00_);_(&quot;$&quot;* \(#,##0.00\);_(&quot;$&quot;* &quot;-&quot;??_);_(@_)"/>
    <numFmt numFmtId="168" formatCode="_(* #,##0.00_);_(* \(#,##0.00\);_(* &quot;-&quot;??_);_(@_)"/>
    <numFmt numFmtId="169" formatCode="#,##0.0000"/>
    <numFmt numFmtId="170" formatCode="&quot;   &quot;@"/>
    <numFmt numFmtId="171" formatCode="&quot;      &quot;@"/>
    <numFmt numFmtId="172" formatCode="&quot;         &quot;@"/>
    <numFmt numFmtId="173" formatCode="&quot;            &quot;@"/>
    <numFmt numFmtId="174" formatCode="&quot;               &quot;@"/>
    <numFmt numFmtId="175" formatCode="#,##0.0"/>
    <numFmt numFmtId="176" formatCode="_-* #,##0.00_-;\-* #,##0.00_-;_-* &quot;-&quot;??_-;_-@_-"/>
    <numFmt numFmtId="177" formatCode="#,##0.000"/>
    <numFmt numFmtId="178" formatCode="mmmm\ d\,\ yyyy"/>
    <numFmt numFmtId="179" formatCode="_([$€]* #,##0.00_);_([$€]* \(#,##0.00\);_([$€]* &quot;-&quot;??_);_(@_)"/>
    <numFmt numFmtId="180" formatCode="0.0%"/>
    <numFmt numFmtId="181" formatCode="#,##0\ &quot;Kč&quot;;\-#,##0\ &quot;Kč&quot;"/>
    <numFmt numFmtId="182" formatCode="_-* #,##0_-;\-* #,##0_-;_-* &quot;-&quot;_-;_-@_-"/>
    <numFmt numFmtId="183" formatCode="_-&quot;¢&quot;* #,##0_-;\-&quot;¢&quot;* #,##0_-;_-&quot;¢&quot;* &quot;-&quot;_-;_-@_-"/>
    <numFmt numFmtId="184" formatCode="_-&quot;¢&quot;* #,##0.00_-;\-&quot;¢&quot;* #,##0.00_-;_-&quot;¢&quot;* &quot;-&quot;??_-;_-@_-"/>
    <numFmt numFmtId="185" formatCode="[&gt;=0.05]#,##0.0;[&lt;=-0.05]\-#,##0.0;?0.0"/>
    <numFmt numFmtId="186" formatCode="[Black]#,##0.0;[Black]\-#,##0.0;;"/>
    <numFmt numFmtId="187" formatCode="[Black][&gt;0.05]#,##0.0;[Black][&lt;-0.05]\-#,##0.0;;"/>
    <numFmt numFmtId="188" formatCode="[Black][&gt;0.5]#,##0;[Black][&lt;-0.5]\-#,##0;;"/>
    <numFmt numFmtId="189" formatCode="#,##0.0____"/>
    <numFmt numFmtId="190" formatCode="General\ \ \ \ \ \ "/>
    <numFmt numFmtId="191" formatCode="0.0\ \ \ \ \ \ \ \ "/>
    <numFmt numFmtId="192" formatCode="mmmm\ yyyy"/>
    <numFmt numFmtId="193" formatCode="0.0"/>
    <numFmt numFmtId="194" formatCode="\$#,##0.00\ ;\(\$#,##0.00\)"/>
  </numFmts>
  <fonts count="42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indexed="8"/>
      <name val="Calibri"/>
      <family val="2"/>
    </font>
    <font>
      <sz val="11"/>
      <color indexed="8"/>
      <name val="Arial"/>
      <family val="2"/>
    </font>
    <font>
      <sz val="10"/>
      <name val="Arial"/>
      <family val="2"/>
    </font>
    <font>
      <b/>
      <sz val="14"/>
      <color indexed="8"/>
      <name val="Arial"/>
      <family val="2"/>
    </font>
    <font>
      <b/>
      <sz val="16"/>
      <color indexed="8"/>
      <name val="Arial"/>
      <family val="2"/>
    </font>
    <font>
      <i/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sz val="9"/>
      <name val="Arial"/>
      <family val="2"/>
    </font>
    <font>
      <sz val="10"/>
      <color indexed="8"/>
      <name val="Arial"/>
      <family val="2"/>
      <charset val="238"/>
    </font>
    <font>
      <sz val="12"/>
      <name val="Times New Roman"/>
      <family val="1"/>
    </font>
    <font>
      <sz val="9"/>
      <name val="Times New Roman"/>
      <family val="1"/>
    </font>
    <font>
      <sz val="10"/>
      <name val="Arial"/>
      <family val="2"/>
      <charset val="238"/>
    </font>
    <font>
      <sz val="10"/>
      <name val="Arial CE"/>
      <charset val="238"/>
    </font>
    <font>
      <sz val="12"/>
      <name val="TIMES"/>
    </font>
    <font>
      <sz val="9"/>
      <name val="Times"/>
    </font>
    <font>
      <sz val="8"/>
      <name val="Arial"/>
      <family val="2"/>
      <charset val="238"/>
    </font>
    <font>
      <u/>
      <sz val="10"/>
      <color indexed="12"/>
      <name val="Arial"/>
      <family val="2"/>
      <charset val="238"/>
    </font>
    <font>
      <sz val="10"/>
      <name val="CTimesRoman"/>
    </font>
    <font>
      <sz val="10"/>
      <name val="Times New Roman"/>
      <family val="1"/>
      <charset val="238"/>
    </font>
    <font>
      <sz val="10"/>
      <name val="Tms Rmn"/>
    </font>
    <font>
      <sz val="12"/>
      <name val="Tms Rmn"/>
    </font>
    <font>
      <sz val="10"/>
      <name val="Times New Roman"/>
      <family val="1"/>
    </font>
    <font>
      <b/>
      <sz val="10"/>
      <name val="Tms Rmn"/>
    </font>
    <font>
      <b/>
      <sz val="10"/>
      <name val="Times New Roman"/>
      <family val="1"/>
    </font>
    <font>
      <b/>
      <i/>
      <sz val="10"/>
      <name val="Times New Roman"/>
      <family val="1"/>
    </font>
    <font>
      <vertAlign val="superscript"/>
      <sz val="9"/>
      <color indexed="8"/>
      <name val="Times New Roman"/>
      <family val="1"/>
    </font>
    <font>
      <sz val="9"/>
      <color indexed="8"/>
      <name val="Times New Roman"/>
      <family val="1"/>
    </font>
    <font>
      <b/>
      <sz val="18"/>
      <name val="Arial CE"/>
      <charset val="238"/>
    </font>
    <font>
      <b/>
      <sz val="12"/>
      <name val="Arial CE"/>
      <charset val="238"/>
    </font>
    <font>
      <sz val="12"/>
      <name val="Times New Roman"/>
      <family val="1"/>
      <charset val="238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sz val="11"/>
      <color theme="1"/>
      <name val="Arial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double">
        <color indexed="8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</borders>
  <cellStyleXfs count="127">
    <xf numFmtId="0" fontId="0" fillId="0" borderId="0"/>
    <xf numFmtId="0" fontId="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38" fillId="0" borderId="0">
      <alignment vertical="top"/>
    </xf>
    <xf numFmtId="0" fontId="13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38" fillId="0" borderId="0">
      <alignment vertical="top"/>
    </xf>
    <xf numFmtId="0" fontId="14" fillId="0" borderId="0"/>
    <xf numFmtId="0" fontId="14" fillId="0" borderId="0"/>
    <xf numFmtId="0" fontId="14" fillId="0" borderId="0"/>
    <xf numFmtId="170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3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3" fontId="16" fillId="2" borderId="1" applyNumberFormat="0"/>
    <xf numFmtId="0" fontId="17" fillId="0" borderId="2" applyNumberFormat="0" applyFont="0" applyFill="0" applyAlignment="0" applyProtection="0"/>
    <xf numFmtId="0" fontId="18" fillId="0" borderId="0"/>
    <xf numFmtId="175" fontId="4" fillId="0" borderId="0" applyFill="0" applyBorder="0" applyAlignment="0" applyProtection="0"/>
    <xf numFmtId="168" fontId="4" fillId="0" borderId="0" applyFont="0" applyFill="0" applyBorder="0" applyAlignment="0" applyProtection="0"/>
    <xf numFmtId="176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7" fontId="19" fillId="0" borderId="0">
      <alignment horizontal="right" vertical="top"/>
    </xf>
    <xf numFmtId="3" fontId="4" fillId="0" borderId="0" applyFill="0" applyBorder="0" applyAlignment="0" applyProtection="0"/>
    <xf numFmtId="0" fontId="18" fillId="0" borderId="0"/>
    <xf numFmtId="0" fontId="18" fillId="0" borderId="0"/>
    <xf numFmtId="164" fontId="4" fillId="0" borderId="0" applyFill="0" applyBorder="0" applyAlignment="0" applyProtection="0"/>
    <xf numFmtId="178" fontId="4" fillId="0" borderId="0" applyFill="0" applyBorder="0" applyAlignment="0" applyProtection="0"/>
    <xf numFmtId="0" fontId="17" fillId="0" borderId="0" applyFont="0" applyFill="0" applyBorder="0" applyAlignment="0" applyProtection="0"/>
    <xf numFmtId="0" fontId="16" fillId="3" borderId="0" applyNumberFormat="0" applyBorder="0" applyProtection="0"/>
    <xf numFmtId="179" fontId="16" fillId="0" borderId="0" applyFont="0" applyFill="0" applyBorder="0" applyAlignment="0" applyProtection="0"/>
    <xf numFmtId="180" fontId="4" fillId="4" borderId="3" applyNumberFormat="0" applyFont="0" applyBorder="0" applyAlignment="0" applyProtection="0">
      <alignment horizontal="right"/>
    </xf>
    <xf numFmtId="3" fontId="17" fillId="0" borderId="0" applyFont="0" applyFill="0" applyBorder="0" applyAlignment="0" applyProtection="0"/>
    <xf numFmtId="3" fontId="17" fillId="0" borderId="0" applyFont="0" applyFill="0" applyBorder="0" applyAlignment="0" applyProtection="0"/>
    <xf numFmtId="2" fontId="4" fillId="0" borderId="0" applyFill="0" applyBorder="0" applyAlignment="0" applyProtection="0"/>
    <xf numFmtId="38" fontId="20" fillId="3" borderId="0" applyNumberFormat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16" fillId="5" borderId="1" applyNumberFormat="0" applyBorder="0" applyProtection="0"/>
    <xf numFmtId="175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10" fontId="20" fillId="6" borderId="4" applyNumberFormat="0" applyBorder="0" applyAlignment="0" applyProtection="0"/>
    <xf numFmtId="3" fontId="16" fillId="7" borderId="0" applyNumberFormat="0" applyBorder="0"/>
    <xf numFmtId="175" fontId="22" fillId="0" borderId="0"/>
    <xf numFmtId="181" fontId="17" fillId="0" borderId="0" applyFont="0" applyFill="0" applyBorder="0" applyAlignment="0" applyProtection="0"/>
    <xf numFmtId="182" fontId="23" fillId="0" borderId="0" applyFont="0" applyFill="0" applyBorder="0" applyAlignment="0" applyProtection="0"/>
    <xf numFmtId="17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6" fillId="8" borderId="1" applyNumberFormat="0"/>
    <xf numFmtId="3" fontId="16" fillId="9" borderId="1" applyNumberFormat="0" applyFont="0" applyAlignment="0"/>
    <xf numFmtId="183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0" fontId="24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2" fillId="0" borderId="0"/>
    <xf numFmtId="0" fontId="4" fillId="0" borderId="0" applyNumberFormat="0" applyFill="0" applyBorder="0" applyAlignment="0" applyProtection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185" fontId="26" fillId="0" borderId="0" applyFill="0" applyBorder="0" applyAlignment="0" applyProtection="0">
      <alignment horizontal="right"/>
    </xf>
    <xf numFmtId="0" fontId="2" fillId="0" borderId="0"/>
    <xf numFmtId="0" fontId="2" fillId="0" borderId="0"/>
    <xf numFmtId="0" fontId="4" fillId="0" borderId="0"/>
    <xf numFmtId="40" fontId="11" fillId="6" borderId="0">
      <alignment horizontal="right"/>
    </xf>
    <xf numFmtId="10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186" fontId="15" fillId="0" borderId="0" applyFont="0" applyFill="0" applyBorder="0" applyAlignment="0" applyProtection="0"/>
    <xf numFmtId="187" fontId="15" fillId="0" borderId="0" applyFont="0" applyFill="0" applyBorder="0" applyAlignment="0" applyProtection="0"/>
    <xf numFmtId="188" fontId="15" fillId="0" borderId="0" applyFont="0" applyFill="0" applyBorder="0" applyAlignment="0" applyProtection="0"/>
    <xf numFmtId="2" fontId="17" fillId="0" borderId="0" applyFont="0" applyFill="0" applyBorder="0" applyAlignment="0" applyProtection="0"/>
    <xf numFmtId="189" fontId="26" fillId="0" borderId="0" applyFill="0" applyBorder="0" applyAlignment="0">
      <alignment horizontal="centerContinuous"/>
    </xf>
    <xf numFmtId="3" fontId="16" fillId="10" borderId="1" applyNumberFormat="0"/>
    <xf numFmtId="0" fontId="15" fillId="0" borderId="0"/>
    <xf numFmtId="0" fontId="27" fillId="0" borderId="0"/>
    <xf numFmtId="0" fontId="13" fillId="0" borderId="0">
      <alignment vertical="top"/>
    </xf>
    <xf numFmtId="0" fontId="16" fillId="0" borderId="0" applyNumberFormat="0"/>
    <xf numFmtId="0" fontId="28" fillId="0" borderId="0" applyNumberFormat="0" applyFont="0" applyFill="0" applyBorder="0" applyAlignment="0" applyProtection="0">
      <alignment vertical="top"/>
    </xf>
    <xf numFmtId="0" fontId="29" fillId="0" borderId="0" applyNumberFormat="0" applyFont="0" applyFill="0" applyBorder="0" applyAlignment="0" applyProtection="0">
      <alignment vertical="top"/>
    </xf>
    <xf numFmtId="0" fontId="29" fillId="0" borderId="0" applyNumberFormat="0" applyFont="0" applyFill="0" applyBorder="0" applyAlignment="0" applyProtection="0">
      <alignment vertical="top"/>
    </xf>
    <xf numFmtId="0" fontId="28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horizontal="left" vertical="top"/>
    </xf>
    <xf numFmtId="0" fontId="28" fillId="0" borderId="0" applyNumberFormat="0" applyFont="0" applyFill="0" applyBorder="0" applyAlignment="0" applyProtection="0">
      <alignment horizontal="left" vertical="top"/>
    </xf>
    <xf numFmtId="0" fontId="28" fillId="0" borderId="0" applyNumberFormat="0" applyFont="0" applyFill="0" applyBorder="0" applyAlignment="0" applyProtection="0">
      <alignment horizontal="left" vertical="top"/>
    </xf>
    <xf numFmtId="0" fontId="26" fillId="0" borderId="0"/>
    <xf numFmtId="0" fontId="30" fillId="0" borderId="0">
      <alignment horizontal="left" wrapText="1"/>
    </xf>
    <xf numFmtId="0" fontId="31" fillId="0" borderId="5" applyNumberFormat="0" applyFont="0" applyFill="0" applyBorder="0" applyAlignment="0" applyProtection="0">
      <alignment horizontal="center" wrapText="1"/>
    </xf>
    <xf numFmtId="190" fontId="15" fillId="0" borderId="0" applyNumberFormat="0" applyFont="0" applyFill="0" applyBorder="0" applyAlignment="0" applyProtection="0">
      <alignment horizontal="right"/>
    </xf>
    <xf numFmtId="0" fontId="31" fillId="0" borderId="0" applyNumberFormat="0" applyFont="0" applyFill="0" applyBorder="0" applyAlignment="0" applyProtection="0">
      <alignment horizontal="left" indent="1"/>
    </xf>
    <xf numFmtId="191" fontId="31" fillId="0" borderId="0" applyNumberFormat="0" applyFont="0" applyFill="0" applyBorder="0" applyAlignment="0" applyProtection="0"/>
    <xf numFmtId="0" fontId="26" fillId="0" borderId="5" applyNumberFormat="0" applyFont="0" applyFill="0" applyAlignment="0" applyProtection="0">
      <alignment horizontal="center"/>
    </xf>
    <xf numFmtId="0" fontId="26" fillId="0" borderId="0" applyNumberFormat="0" applyFont="0" applyFill="0" applyBorder="0" applyAlignment="0" applyProtection="0">
      <alignment horizontal="left" wrapText="1" indent="1"/>
    </xf>
    <xf numFmtId="0" fontId="31" fillId="0" borderId="0" applyNumberFormat="0" applyFont="0" applyFill="0" applyBorder="0" applyAlignment="0" applyProtection="0">
      <alignment horizontal="left" indent="1"/>
    </xf>
    <xf numFmtId="0" fontId="26" fillId="0" borderId="0" applyNumberFormat="0" applyFont="0" applyFill="0" applyBorder="0" applyAlignment="0" applyProtection="0">
      <alignment horizontal="left" wrapText="1" indent="2"/>
    </xf>
    <xf numFmtId="192" fontId="26" fillId="0" borderId="0">
      <alignment horizontal="right"/>
    </xf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93" fontId="34" fillId="0" borderId="0">
      <alignment horizontal="right"/>
    </xf>
    <xf numFmtId="0" fontId="35" fillId="0" borderId="0" applyProtection="0"/>
    <xf numFmtId="194" fontId="35" fillId="0" borderId="0" applyProtection="0"/>
    <xf numFmtId="0" fontId="36" fillId="0" borderId="0" applyProtection="0"/>
    <xf numFmtId="0" fontId="37" fillId="0" borderId="0" applyProtection="0"/>
    <xf numFmtId="0" fontId="35" fillId="0" borderId="6" applyProtection="0"/>
    <xf numFmtId="0" fontId="35" fillId="0" borderId="0"/>
    <xf numFmtId="10" fontId="35" fillId="0" borderId="0" applyProtection="0"/>
    <xf numFmtId="0" fontId="35" fillId="0" borderId="0"/>
    <xf numFmtId="2" fontId="35" fillId="0" borderId="0" applyProtection="0"/>
    <xf numFmtId="4" fontId="35" fillId="0" borderId="0" applyProtection="0"/>
  </cellStyleXfs>
  <cellXfs count="66">
    <xf numFmtId="0" fontId="0" fillId="0" borderId="0" xfId="0"/>
    <xf numFmtId="0" fontId="1" fillId="0" borderId="0" xfId="1"/>
    <xf numFmtId="0" fontId="3" fillId="0" borderId="0" xfId="80" applyFont="1"/>
    <xf numFmtId="0" fontId="6" fillId="0" borderId="0" xfId="80" applyFont="1" applyBorder="1" applyAlignment="1">
      <alignment horizontal="center"/>
    </xf>
    <xf numFmtId="0" fontId="11" fillId="0" borderId="7" xfId="80" applyFont="1" applyBorder="1" applyAlignment="1">
      <alignment horizontal="center" vertical="center"/>
    </xf>
    <xf numFmtId="3" fontId="11" fillId="6" borderId="8" xfId="80" applyNumberFormat="1" applyFont="1" applyFill="1" applyBorder="1"/>
    <xf numFmtId="3" fontId="3" fillId="0" borderId="0" xfId="80" applyNumberFormat="1" applyFont="1"/>
    <xf numFmtId="169" fontId="3" fillId="0" borderId="0" xfId="80" applyNumberFormat="1" applyFont="1"/>
    <xf numFmtId="0" fontId="11" fillId="0" borderId="9" xfId="80" applyFont="1" applyBorder="1" applyAlignment="1">
      <alignment horizontal="center" vertical="center"/>
    </xf>
    <xf numFmtId="3" fontId="11" fillId="6" borderId="4" xfId="80" applyNumberFormat="1" applyFont="1" applyFill="1" applyBorder="1"/>
    <xf numFmtId="0" fontId="11" fillId="0" borderId="10" xfId="80" applyFont="1" applyBorder="1" applyAlignment="1">
      <alignment horizontal="center" vertical="center"/>
    </xf>
    <xf numFmtId="3" fontId="8" fillId="3" borderId="11" xfId="80" applyNumberFormat="1" applyFont="1" applyFill="1" applyBorder="1" applyAlignment="1">
      <alignment horizontal="right" vertical="center"/>
    </xf>
    <xf numFmtId="0" fontId="3" fillId="0" borderId="0" xfId="80" applyFont="1" applyFill="1" applyBorder="1" applyAlignment="1">
      <alignment horizontal="right" vertical="center"/>
    </xf>
    <xf numFmtId="3" fontId="3" fillId="0" borderId="0" xfId="80" applyNumberFormat="1" applyFont="1" applyBorder="1" applyAlignment="1">
      <alignment horizontal="right" vertical="center"/>
    </xf>
    <xf numFmtId="3" fontId="3" fillId="0" borderId="0" xfId="80" applyNumberFormat="1" applyFont="1" applyBorder="1" applyAlignment="1">
      <alignment vertical="center"/>
    </xf>
    <xf numFmtId="0" fontId="3" fillId="0" borderId="0" xfId="80" applyFont="1" applyBorder="1"/>
    <xf numFmtId="3" fontId="3" fillId="0" borderId="0" xfId="80" applyNumberFormat="1" applyFont="1" applyBorder="1"/>
    <xf numFmtId="0" fontId="4" fillId="0" borderId="0" xfId="1" applyFont="1" applyBorder="1"/>
    <xf numFmtId="3" fontId="11" fillId="6" borderId="12" xfId="80" applyNumberFormat="1" applyFont="1" applyFill="1" applyBorder="1"/>
    <xf numFmtId="0" fontId="10" fillId="0" borderId="11" xfId="81" applyFont="1" applyFill="1" applyBorder="1" applyAlignment="1">
      <alignment horizontal="center" vertical="center" wrapText="1"/>
    </xf>
    <xf numFmtId="0" fontId="11" fillId="6" borderId="13" xfId="80" applyFont="1" applyFill="1" applyBorder="1" applyAlignment="1"/>
    <xf numFmtId="0" fontId="11" fillId="0" borderId="13" xfId="80" applyFont="1" applyBorder="1" applyAlignment="1"/>
    <xf numFmtId="3" fontId="11" fillId="0" borderId="14" xfId="80" applyNumberFormat="1" applyFont="1" applyBorder="1" applyAlignment="1">
      <alignment horizontal="right" indent="1"/>
    </xf>
    <xf numFmtId="0" fontId="10" fillId="0" borderId="11" xfId="80" applyFont="1" applyFill="1" applyBorder="1" applyAlignment="1">
      <alignment horizontal="center" vertical="center" wrapText="1"/>
    </xf>
    <xf numFmtId="3" fontId="4" fillId="6" borderId="4" xfId="80" applyNumberFormat="1" applyFont="1" applyFill="1" applyBorder="1"/>
    <xf numFmtId="0" fontId="11" fillId="6" borderId="15" xfId="80" applyFont="1" applyFill="1" applyBorder="1" applyAlignment="1"/>
    <xf numFmtId="3" fontId="11" fillId="0" borderId="12" xfId="80" applyNumberFormat="1" applyFont="1" applyBorder="1" applyAlignment="1">
      <alignment horizontal="right" indent="1"/>
    </xf>
    <xf numFmtId="3" fontId="11" fillId="0" borderId="4" xfId="80" applyNumberFormat="1" applyFont="1" applyFill="1" applyBorder="1"/>
    <xf numFmtId="3" fontId="4" fillId="0" borderId="4" xfId="80" applyNumberFormat="1" applyFont="1" applyFill="1" applyBorder="1"/>
    <xf numFmtId="3" fontId="11" fillId="0" borderId="14" xfId="80" applyNumberFormat="1" applyFont="1" applyFill="1" applyBorder="1" applyAlignment="1">
      <alignment horizontal="right" indent="1"/>
    </xf>
    <xf numFmtId="3" fontId="11" fillId="0" borderId="12" xfId="80" applyNumberFormat="1" applyFont="1" applyFill="1" applyBorder="1"/>
    <xf numFmtId="3" fontId="39" fillId="6" borderId="0" xfId="80" applyNumberFormat="1" applyFont="1" applyFill="1" applyBorder="1"/>
    <xf numFmtId="0" fontId="0" fillId="0" borderId="0" xfId="0" applyFont="1"/>
    <xf numFmtId="0" fontId="1" fillId="0" borderId="0" xfId="1" applyFont="1"/>
    <xf numFmtId="3" fontId="41" fillId="0" borderId="0" xfId="0" applyNumberFormat="1" applyFont="1"/>
    <xf numFmtId="3" fontId="11" fillId="11" borderId="8" xfId="80" applyNumberFormat="1" applyFont="1" applyFill="1" applyBorder="1" applyAlignment="1">
      <alignment horizontal="right" indent="1"/>
    </xf>
    <xf numFmtId="3" fontId="11" fillId="11" borderId="8" xfId="80" applyNumberFormat="1" applyFont="1" applyFill="1" applyBorder="1"/>
    <xf numFmtId="3" fontId="11" fillId="11" borderId="4" xfId="80" applyNumberFormat="1" applyFont="1" applyFill="1" applyBorder="1" applyAlignment="1">
      <alignment horizontal="right" indent="1"/>
    </xf>
    <xf numFmtId="3" fontId="11" fillId="11" borderId="4" xfId="80" applyNumberFormat="1" applyFont="1" applyFill="1" applyBorder="1"/>
    <xf numFmtId="3" fontId="12" fillId="11" borderId="8" xfId="1" applyNumberFormat="1" applyFont="1" applyFill="1" applyBorder="1" applyAlignment="1">
      <alignment horizontal="right"/>
    </xf>
    <xf numFmtId="0" fontId="40" fillId="0" borderId="0" xfId="1" applyFont="1" applyBorder="1" applyAlignment="1">
      <alignment horizontal="center"/>
    </xf>
    <xf numFmtId="3" fontId="11" fillId="0" borderId="27" xfId="80" applyNumberFormat="1" applyFont="1" applyFill="1" applyBorder="1" applyAlignment="1">
      <alignment horizontal="right" indent="1"/>
    </xf>
    <xf numFmtId="3" fontId="0" fillId="0" borderId="0" xfId="0" applyNumberFormat="1"/>
    <xf numFmtId="3" fontId="1" fillId="0" borderId="0" xfId="1" applyNumberFormat="1"/>
    <xf numFmtId="3" fontId="0" fillId="0" borderId="0" xfId="0" applyNumberFormat="1" applyFont="1"/>
    <xf numFmtId="3" fontId="1" fillId="0" borderId="0" xfId="1" applyNumberFormat="1" applyFont="1"/>
    <xf numFmtId="3" fontId="4" fillId="0" borderId="12" xfId="80" applyNumberFormat="1" applyFont="1" applyFill="1" applyBorder="1"/>
    <xf numFmtId="0" fontId="8" fillId="3" borderId="21" xfId="80" applyFont="1" applyFill="1" applyBorder="1" applyAlignment="1">
      <alignment horizontal="center" vertical="center"/>
    </xf>
    <xf numFmtId="0" fontId="8" fillId="3" borderId="22" xfId="80" applyFont="1" applyFill="1" applyBorder="1" applyAlignment="1">
      <alignment horizontal="center" vertical="center"/>
    </xf>
    <xf numFmtId="0" fontId="8" fillId="0" borderId="12" xfId="80" applyFont="1" applyBorder="1" applyAlignment="1">
      <alignment horizontal="center" vertical="center"/>
    </xf>
    <xf numFmtId="0" fontId="8" fillId="0" borderId="23" xfId="80" applyFont="1" applyBorder="1" applyAlignment="1">
      <alignment horizontal="center" vertical="center"/>
    </xf>
    <xf numFmtId="0" fontId="8" fillId="0" borderId="4" xfId="80" applyFont="1" applyBorder="1" applyAlignment="1">
      <alignment horizontal="center" vertical="center"/>
    </xf>
    <xf numFmtId="0" fontId="8" fillId="0" borderId="24" xfId="80" applyFont="1" applyBorder="1" applyAlignment="1">
      <alignment horizontal="center" vertical="center"/>
    </xf>
    <xf numFmtId="0" fontId="9" fillId="0" borderId="19" xfId="80" applyFont="1" applyFill="1" applyBorder="1" applyAlignment="1">
      <alignment horizontal="center" vertical="center"/>
    </xf>
    <xf numFmtId="0" fontId="9" fillId="0" borderId="25" xfId="80" applyFont="1" applyFill="1" applyBorder="1" applyAlignment="1">
      <alignment horizontal="center" vertical="center"/>
    </xf>
    <xf numFmtId="0" fontId="1" fillId="0" borderId="26" xfId="1" applyBorder="1" applyAlignment="1">
      <alignment horizontal="center" vertical="center"/>
    </xf>
    <xf numFmtId="0" fontId="5" fillId="0" borderId="0" xfId="80" applyFont="1" applyBorder="1" applyAlignment="1">
      <alignment horizontal="center"/>
    </xf>
    <xf numFmtId="0" fontId="7" fillId="0" borderId="16" xfId="80" applyFont="1" applyBorder="1" applyAlignment="1">
      <alignment horizontal="right"/>
    </xf>
    <xf numFmtId="0" fontId="8" fillId="0" borderId="17" xfId="80" applyFont="1" applyBorder="1" applyAlignment="1">
      <alignment horizontal="center" vertical="center"/>
    </xf>
    <xf numFmtId="0" fontId="8" fillId="0" borderId="18" xfId="80" applyFont="1" applyBorder="1" applyAlignment="1">
      <alignment horizontal="center" vertical="center"/>
    </xf>
    <xf numFmtId="0" fontId="8" fillId="0" borderId="19" xfId="80" applyFont="1" applyBorder="1" applyAlignment="1">
      <alignment horizontal="center" vertical="center"/>
    </xf>
    <xf numFmtId="0" fontId="8" fillId="0" borderId="20" xfId="80" applyFont="1" applyBorder="1" applyAlignment="1">
      <alignment horizontal="center" vertical="center"/>
    </xf>
    <xf numFmtId="0" fontId="8" fillId="0" borderId="17" xfId="80" applyFont="1" applyFill="1" applyBorder="1" applyAlignment="1">
      <alignment horizontal="center" vertical="center" wrapText="1"/>
    </xf>
    <xf numFmtId="0" fontId="8" fillId="0" borderId="18" xfId="80" applyFont="1" applyFill="1" applyBorder="1" applyAlignment="1">
      <alignment horizontal="center" vertical="center" wrapText="1"/>
    </xf>
    <xf numFmtId="0" fontId="10" fillId="0" borderId="17" xfId="80" applyFont="1" applyFill="1" applyBorder="1" applyAlignment="1">
      <alignment horizontal="center" vertical="center" wrapText="1"/>
    </xf>
    <xf numFmtId="0" fontId="10" fillId="0" borderId="18" xfId="80" applyFont="1" applyFill="1" applyBorder="1" applyAlignment="1">
      <alignment horizontal="center" vertical="center" wrapText="1"/>
    </xf>
  </cellXfs>
  <cellStyles count="127">
    <cellStyle name="_ALB content sheet" xfId="2"/>
    <cellStyle name="_ALB content sheet_Projekt_Buxhet_2012" xfId="3"/>
    <cellStyle name="_ALB content sheet_Projekt_Buxhet_2012_Tabela 3 Qarqet" xfId="4"/>
    <cellStyle name="_ALB content sheet_Projekt_Buxhet_2012_Tabela Bashkite" xfId="5"/>
    <cellStyle name="_ALB content sheet_Projekt_Buxhet_2012_Tabela Bashkite_Sheet2" xfId="6"/>
    <cellStyle name="_ALB content sheet_Projekt_Buxhet_2012_Tabela Bashkite_Tabela Bashkite" xfId="7"/>
    <cellStyle name="_ALB content sheet_Tabela 3 Qarqet" xfId="8"/>
    <cellStyle name="_ALB content sheet_Tabela Bashkite" xfId="9"/>
    <cellStyle name="_ALB content sheet_Tabela Bashkite_Sheet2" xfId="10"/>
    <cellStyle name="_ALB content sheet_Tabela Bashkite_Tabela Bashkite" xfId="11"/>
    <cellStyle name="_ALB_StructPC tables" xfId="12"/>
    <cellStyle name="_Output to team May 12 2008 10pm" xfId="13"/>
    <cellStyle name="_PC Table Summary fror Gramoz May 13 2008" xfId="14"/>
    <cellStyle name="1 indent" xfId="15"/>
    <cellStyle name="2 indents" xfId="16"/>
    <cellStyle name="3 indents" xfId="17"/>
    <cellStyle name="4 indents" xfId="18"/>
    <cellStyle name="5 indents" xfId="19"/>
    <cellStyle name="BoA" xfId="20"/>
    <cellStyle name="Celkem" xfId="21"/>
    <cellStyle name="Comma  - Style1" xfId="22"/>
    <cellStyle name="Comma 2" xfId="23"/>
    <cellStyle name="Comma 2 3" xfId="24"/>
    <cellStyle name="Comma 3" xfId="25"/>
    <cellStyle name="Comma 4" xfId="26"/>
    <cellStyle name="Comma 5" xfId="27"/>
    <cellStyle name="Comma 6" xfId="28"/>
    <cellStyle name="Comma(3)" xfId="29"/>
    <cellStyle name="Comma0" xfId="30"/>
    <cellStyle name="Curren - Style3" xfId="31"/>
    <cellStyle name="Curren - Style4" xfId="32"/>
    <cellStyle name="Currency0" xfId="33"/>
    <cellStyle name="Date" xfId="34"/>
    <cellStyle name="Datum" xfId="35"/>
    <cellStyle name="Defl/Infl" xfId="36"/>
    <cellStyle name="Euro" xfId="37"/>
    <cellStyle name="Exogenous" xfId="38"/>
    <cellStyle name="Finanční0" xfId="39"/>
    <cellStyle name="Finanèní0" xfId="40"/>
    <cellStyle name="Fixed" xfId="41"/>
    <cellStyle name="Grey" xfId="42"/>
    <cellStyle name="Hipervínculo_IIF" xfId="43"/>
    <cellStyle name="IMF" xfId="44"/>
    <cellStyle name="imf-one decimal" xfId="45"/>
    <cellStyle name="imf-zero decimal" xfId="46"/>
    <cellStyle name="Input [yellow]" xfId="47"/>
    <cellStyle name="INSTAT" xfId="48"/>
    <cellStyle name="Label" xfId="49"/>
    <cellStyle name="Měna0" xfId="50"/>
    <cellStyle name="Millares [0]_BALPROGRAMA2001R" xfId="51"/>
    <cellStyle name="Millares_BALPROGRAMA2001R" xfId="52"/>
    <cellStyle name="Milliers [0]_Encours - Apr rééch" xfId="53"/>
    <cellStyle name="Milliers_Encours - Apr rééch" xfId="54"/>
    <cellStyle name="Mìna0" xfId="55"/>
    <cellStyle name="Model" xfId="56"/>
    <cellStyle name="MoF" xfId="57"/>
    <cellStyle name="Moneda [0]_BALPROGRAMA2001R" xfId="58"/>
    <cellStyle name="Moneda_BALPROGRAMA2001R" xfId="59"/>
    <cellStyle name="Monétaire [0]_Encours - Apr rééch" xfId="60"/>
    <cellStyle name="Monétaire_Encours - Apr rééch" xfId="61"/>
    <cellStyle name="Normal" xfId="0" builtinId="0"/>
    <cellStyle name="Normal - Style1" xfId="62"/>
    <cellStyle name="Normal - Style2" xfId="63"/>
    <cellStyle name="Normal - Style5" xfId="64"/>
    <cellStyle name="Normal - Style6" xfId="65"/>
    <cellStyle name="Normal - Style7" xfId="66"/>
    <cellStyle name="Normal - Style8" xfId="67"/>
    <cellStyle name="Normal 10" xfId="68"/>
    <cellStyle name="Normal 11" xfId="69"/>
    <cellStyle name="normal 2" xfId="70"/>
    <cellStyle name="Normal 2 4" xfId="71"/>
    <cellStyle name="Normal 3" xfId="72"/>
    <cellStyle name="Normal 3 2" xfId="73"/>
    <cellStyle name="Normal 4" xfId="74"/>
    <cellStyle name="Normal 5" xfId="75"/>
    <cellStyle name="Normal 5 3" xfId="76"/>
    <cellStyle name="Normal 6" xfId="77"/>
    <cellStyle name="Normal 7" xfId="1"/>
    <cellStyle name="Normal 8" xfId="78"/>
    <cellStyle name="Normal Table" xfId="79"/>
    <cellStyle name="Normal_Tabela Bashkite" xfId="80"/>
    <cellStyle name="Normal_Tabela Bashkite_Tabela Bashkite" xfId="81"/>
    <cellStyle name="normálne__1_NDARJA  BUXHETIT Universiteteve _2007-2008 sipas Formulës.xls_Flori_PM" xfId="82"/>
    <cellStyle name="Output Amounts" xfId="83"/>
    <cellStyle name="Percent [2]" xfId="84"/>
    <cellStyle name="Percent 2" xfId="85"/>
    <cellStyle name="percentage difference" xfId="86"/>
    <cellStyle name="percentage difference one decimal" xfId="87"/>
    <cellStyle name="percentage difference zero decimal" xfId="88"/>
    <cellStyle name="Pevný" xfId="89"/>
    <cellStyle name="Presentation" xfId="90"/>
    <cellStyle name="Proj" xfId="91"/>
    <cellStyle name="Publication" xfId="92"/>
    <cellStyle name="STYL1 - Style1" xfId="93"/>
    <cellStyle name="Style 1" xfId="94"/>
    <cellStyle name="Text" xfId="95"/>
    <cellStyle name="WebAnchor1" xfId="96"/>
    <cellStyle name="WebAnchor2" xfId="97"/>
    <cellStyle name="WebAnchor3" xfId="98"/>
    <cellStyle name="WebAnchor4" xfId="99"/>
    <cellStyle name="WebAnchor5" xfId="100"/>
    <cellStyle name="WebAnchor6" xfId="101"/>
    <cellStyle name="WebAnchor7" xfId="102"/>
    <cellStyle name="Webexclude" xfId="103"/>
    <cellStyle name="WebFN" xfId="104"/>
    <cellStyle name="WebFN1" xfId="105"/>
    <cellStyle name="WebFN2" xfId="106"/>
    <cellStyle name="WebFN3" xfId="107"/>
    <cellStyle name="WebFN4" xfId="108"/>
    <cellStyle name="WebHR" xfId="109"/>
    <cellStyle name="WebIndent1" xfId="110"/>
    <cellStyle name="WebIndent1wFN3" xfId="111"/>
    <cellStyle name="WebIndent2" xfId="112"/>
    <cellStyle name="WebNoBR" xfId="113"/>
    <cellStyle name="Záhlaví 1" xfId="114"/>
    <cellStyle name="Záhlaví 2" xfId="115"/>
    <cellStyle name="zero" xfId="116"/>
    <cellStyle name="ДАТА" xfId="117"/>
    <cellStyle name="ДЕНЕЖНЫЙ_BOPENGC" xfId="118"/>
    <cellStyle name="ЗАГОЛОВОК1" xfId="119"/>
    <cellStyle name="ЗАГОЛОВОК2" xfId="120"/>
    <cellStyle name="ИТОГОВЫЙ" xfId="121"/>
    <cellStyle name="Обычный_BOPENGC" xfId="122"/>
    <cellStyle name="ПРОЦЕНТНЫЙ_BOPENGC" xfId="123"/>
    <cellStyle name="ТЕКСТ" xfId="124"/>
    <cellStyle name="ФИКСИРОВАННЫЙ" xfId="125"/>
    <cellStyle name="ФИНАНСОВЫЙ_BOPENGC" xfId="1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85"/>
  <sheetViews>
    <sheetView tabSelected="1" view="pageBreakPreview" topLeftCell="A37" zoomScale="60" zoomScaleNormal="100" workbookViewId="0">
      <selection activeCell="C68" sqref="C68"/>
    </sheetView>
  </sheetViews>
  <sheetFormatPr defaultRowHeight="15"/>
  <cols>
    <col min="2" max="2" width="22.85546875" customWidth="1"/>
    <col min="3" max="3" width="13.5703125" customWidth="1"/>
    <col min="4" max="4" width="9.28515625" bestFit="1" customWidth="1"/>
    <col min="5" max="5" width="10.85546875" customWidth="1"/>
    <col min="6" max="10" width="10.140625" bestFit="1" customWidth="1"/>
    <col min="11" max="11" width="9.85546875" customWidth="1"/>
    <col min="12" max="12" width="10.140625" bestFit="1" customWidth="1"/>
    <col min="13" max="13" width="12.140625" customWidth="1"/>
    <col min="15" max="15" width="12.5703125" bestFit="1" customWidth="1"/>
    <col min="16" max="16" width="16.5703125" customWidth="1"/>
    <col min="17" max="18" width="10.140625" bestFit="1" customWidth="1"/>
  </cols>
  <sheetData>
    <row r="2" spans="1:17">
      <c r="A2" s="2"/>
      <c r="B2" s="1" t="s">
        <v>0</v>
      </c>
      <c r="C2" s="2"/>
      <c r="D2" s="2"/>
      <c r="E2" s="2"/>
      <c r="F2" s="2"/>
      <c r="G2" s="2"/>
      <c r="H2" s="2"/>
      <c r="I2" s="2"/>
      <c r="J2" s="2"/>
      <c r="K2" s="6"/>
      <c r="L2" s="6"/>
      <c r="M2" s="2"/>
      <c r="N2" s="2"/>
      <c r="O2" s="2"/>
      <c r="P2" s="2"/>
      <c r="Q2" s="2"/>
    </row>
    <row r="3" spans="1:17" ht="18">
      <c r="A3" s="56" t="s">
        <v>1</v>
      </c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2"/>
      <c r="O3" s="2"/>
      <c r="P3" s="2"/>
      <c r="Q3" s="2"/>
    </row>
    <row r="4" spans="1:17" ht="18.75" customHeight="1" thickBot="1">
      <c r="A4" s="3"/>
      <c r="B4" s="3"/>
      <c r="C4" s="3"/>
      <c r="D4" s="3"/>
      <c r="E4" s="3"/>
      <c r="F4" s="3"/>
      <c r="G4" s="3"/>
      <c r="H4" s="3"/>
      <c r="I4" s="3"/>
      <c r="J4" s="57" t="s">
        <v>2</v>
      </c>
      <c r="K4" s="57"/>
      <c r="L4" s="57"/>
      <c r="M4" s="57"/>
      <c r="N4" s="2"/>
      <c r="O4" s="2"/>
      <c r="P4" s="2"/>
      <c r="Q4" s="2"/>
    </row>
    <row r="5" spans="1:17" ht="15.75" thickBot="1">
      <c r="A5" s="58" t="s">
        <v>3</v>
      </c>
      <c r="B5" s="60" t="s">
        <v>4</v>
      </c>
      <c r="C5" s="62" t="s">
        <v>5</v>
      </c>
      <c r="D5" s="53" t="s">
        <v>6</v>
      </c>
      <c r="E5" s="54"/>
      <c r="F5" s="54"/>
      <c r="G5" s="54"/>
      <c r="H5" s="54"/>
      <c r="I5" s="54"/>
      <c r="J5" s="54"/>
      <c r="K5" s="54"/>
      <c r="L5" s="55"/>
      <c r="M5" s="64" t="s">
        <v>7</v>
      </c>
      <c r="N5" s="2"/>
      <c r="O5" s="2"/>
      <c r="P5" s="2"/>
      <c r="Q5" s="2"/>
    </row>
    <row r="6" spans="1:17" ht="64.5" thickBot="1">
      <c r="A6" s="59"/>
      <c r="B6" s="61"/>
      <c r="C6" s="63"/>
      <c r="D6" s="23" t="s">
        <v>8</v>
      </c>
      <c r="E6" s="23" t="s">
        <v>9</v>
      </c>
      <c r="F6" s="23" t="s">
        <v>10</v>
      </c>
      <c r="G6" s="23" t="s">
        <v>11</v>
      </c>
      <c r="H6" s="23" t="s">
        <v>12</v>
      </c>
      <c r="I6" s="23" t="s">
        <v>13</v>
      </c>
      <c r="J6" s="23" t="s">
        <v>14</v>
      </c>
      <c r="K6" s="19" t="s">
        <v>15</v>
      </c>
      <c r="L6" s="19" t="s">
        <v>16</v>
      </c>
      <c r="M6" s="65"/>
      <c r="N6" s="2"/>
      <c r="O6" s="2"/>
      <c r="P6" s="2"/>
      <c r="Q6" s="2"/>
    </row>
    <row r="7" spans="1:17">
      <c r="A7" s="4">
        <v>1</v>
      </c>
      <c r="B7" s="25" t="s">
        <v>17</v>
      </c>
      <c r="C7" s="35">
        <v>91156.383637774386</v>
      </c>
      <c r="D7" s="36">
        <v>0</v>
      </c>
      <c r="E7" s="36">
        <f>20945+419</f>
        <v>21364</v>
      </c>
      <c r="F7" s="36">
        <f>929+105</f>
        <v>1034</v>
      </c>
      <c r="G7" s="36">
        <v>0</v>
      </c>
      <c r="H7" s="36">
        <v>0</v>
      </c>
      <c r="I7" s="36">
        <v>613.18499999999995</v>
      </c>
      <c r="J7" s="5">
        <v>7523.4809999999998</v>
      </c>
      <c r="K7" s="5">
        <v>2198.0720820286083</v>
      </c>
      <c r="L7" s="5">
        <v>0</v>
      </c>
      <c r="M7" s="22">
        <f>L7+K7+J7+I7+H7+G7+F7+E7+D7+C7</f>
        <v>123889.12171980299</v>
      </c>
      <c r="N7" s="6"/>
      <c r="O7" s="6"/>
      <c r="P7" s="2"/>
      <c r="Q7" s="7"/>
    </row>
    <row r="8" spans="1:17">
      <c r="A8" s="8">
        <v>2</v>
      </c>
      <c r="B8" s="20" t="s">
        <v>18</v>
      </c>
      <c r="C8" s="37">
        <v>219580.00345709207</v>
      </c>
      <c r="D8" s="38">
        <v>26368.514799480003</v>
      </c>
      <c r="E8" s="38">
        <f>117645+2302</f>
        <v>119947</v>
      </c>
      <c r="F8" s="38">
        <f>6499+589</f>
        <v>7088</v>
      </c>
      <c r="G8" s="38">
        <v>26565.15</v>
      </c>
      <c r="H8" s="38">
        <v>22415.82</v>
      </c>
      <c r="I8" s="36">
        <v>2452.7399999999998</v>
      </c>
      <c r="J8" s="9">
        <v>4636.1629999999996</v>
      </c>
      <c r="K8" s="9">
        <v>6458.8866887701797</v>
      </c>
      <c r="L8" s="5">
        <v>0</v>
      </c>
      <c r="M8" s="22">
        <f t="shared" ref="M8:M69" si="0">L8+K8+J8+I8+H8+G8+F8+E8+D8+C8</f>
        <v>435512.27794534224</v>
      </c>
      <c r="N8" s="6"/>
      <c r="O8" s="6"/>
      <c r="P8" s="2"/>
      <c r="Q8" s="7"/>
    </row>
    <row r="9" spans="1:17">
      <c r="A9" s="8">
        <v>3</v>
      </c>
      <c r="B9" s="20" t="s">
        <v>19</v>
      </c>
      <c r="C9" s="37">
        <v>196657.5507412696</v>
      </c>
      <c r="D9" s="38">
        <v>0</v>
      </c>
      <c r="E9" s="38">
        <f>48370+967</f>
        <v>49337</v>
      </c>
      <c r="F9" s="38">
        <f>0+242</f>
        <v>242</v>
      </c>
      <c r="G9" s="38">
        <v>8268.5499999999993</v>
      </c>
      <c r="H9" s="38">
        <v>0</v>
      </c>
      <c r="I9" s="36">
        <v>2452.7399999999998</v>
      </c>
      <c r="J9" s="9">
        <v>27453.492999999999</v>
      </c>
      <c r="K9" s="9">
        <v>5226.6769509424703</v>
      </c>
      <c r="L9" s="5">
        <v>0</v>
      </c>
      <c r="M9" s="22">
        <f t="shared" si="0"/>
        <v>289638.01069221209</v>
      </c>
      <c r="N9" s="6"/>
      <c r="O9" s="6"/>
      <c r="P9" s="2"/>
      <c r="Q9" s="7"/>
    </row>
    <row r="10" spans="1:17">
      <c r="A10" s="8">
        <v>4</v>
      </c>
      <c r="B10" s="20" t="s">
        <v>20</v>
      </c>
      <c r="C10" s="37">
        <v>105931.84987256151</v>
      </c>
      <c r="D10" s="38">
        <v>4426.3693908000005</v>
      </c>
      <c r="E10" s="38">
        <f>37835+757</f>
        <v>38592</v>
      </c>
      <c r="F10" s="38">
        <f>3714+189</f>
        <v>3903</v>
      </c>
      <c r="G10" s="38">
        <v>0</v>
      </c>
      <c r="H10" s="38">
        <v>0</v>
      </c>
      <c r="I10" s="36">
        <v>613.18499999999995</v>
      </c>
      <c r="J10" s="9">
        <v>1727.587</v>
      </c>
      <c r="K10" s="9">
        <v>5842.78181985632</v>
      </c>
      <c r="L10" s="5">
        <v>0</v>
      </c>
      <c r="M10" s="22">
        <f t="shared" si="0"/>
        <v>161036.77308321782</v>
      </c>
      <c r="N10" s="6"/>
      <c r="O10" s="6"/>
      <c r="P10" s="2"/>
      <c r="Q10" s="7"/>
    </row>
    <row r="11" spans="1:17">
      <c r="A11" s="8">
        <v>5</v>
      </c>
      <c r="B11" s="20" t="s">
        <v>21</v>
      </c>
      <c r="C11" s="37">
        <v>47255.734789616617</v>
      </c>
      <c r="D11" s="38">
        <v>0</v>
      </c>
      <c r="E11" s="38">
        <f>20179+404</f>
        <v>20583</v>
      </c>
      <c r="F11" s="38">
        <f>1392+101</f>
        <v>1493</v>
      </c>
      <c r="G11" s="38">
        <v>6803.95</v>
      </c>
      <c r="H11" s="38">
        <v>0</v>
      </c>
      <c r="I11" s="36">
        <v>613.18499999999995</v>
      </c>
      <c r="J11" s="9">
        <v>3240.9189999999999</v>
      </c>
      <c r="K11" s="9">
        <v>2198.0720820286083</v>
      </c>
      <c r="L11" s="5">
        <v>0</v>
      </c>
      <c r="M11" s="22">
        <f t="shared" si="0"/>
        <v>82187.860871645229</v>
      </c>
      <c r="N11" s="6"/>
      <c r="O11" s="6"/>
      <c r="P11" s="2"/>
      <c r="Q11" s="7"/>
    </row>
    <row r="12" spans="1:17">
      <c r="A12" s="8">
        <v>6</v>
      </c>
      <c r="B12" s="20" t="s">
        <v>22</v>
      </c>
      <c r="C12" s="37">
        <v>139872.61683818966</v>
      </c>
      <c r="D12" s="38">
        <v>0</v>
      </c>
      <c r="E12" s="38">
        <f>47279+946</f>
        <v>48225</v>
      </c>
      <c r="F12" s="38">
        <f>1857+236</f>
        <v>2093</v>
      </c>
      <c r="G12" s="38">
        <v>3435.05</v>
      </c>
      <c r="H12" s="38">
        <v>0</v>
      </c>
      <c r="I12" s="36">
        <v>1839.5550000000001</v>
      </c>
      <c r="J12" s="9">
        <v>9980.7790000000005</v>
      </c>
      <c r="K12" s="9">
        <v>3430.28181985632</v>
      </c>
      <c r="L12" s="5">
        <v>0</v>
      </c>
      <c r="M12" s="22">
        <f t="shared" si="0"/>
        <v>208876.282658046</v>
      </c>
      <c r="N12" s="6"/>
      <c r="O12" s="6"/>
      <c r="P12" s="2"/>
      <c r="Q12" s="7"/>
    </row>
    <row r="13" spans="1:17">
      <c r="A13" s="8">
        <v>7</v>
      </c>
      <c r="B13" s="20" t="s">
        <v>23</v>
      </c>
      <c r="C13" s="37">
        <v>314947.6706127018</v>
      </c>
      <c r="D13" s="38">
        <v>23185.744427999998</v>
      </c>
      <c r="E13" s="38">
        <f>115666+2300</f>
        <v>117966</v>
      </c>
      <c r="F13" s="38">
        <f>5107+578</f>
        <v>5685</v>
      </c>
      <c r="G13" s="38">
        <v>19043.349999999999</v>
      </c>
      <c r="H13" s="38">
        <v>0</v>
      </c>
      <c r="I13" s="36">
        <v>2452.7399999999998</v>
      </c>
      <c r="J13" s="9">
        <v>13456.782999999999</v>
      </c>
      <c r="K13" s="9">
        <v>5842.78181985632</v>
      </c>
      <c r="L13" s="5">
        <v>0</v>
      </c>
      <c r="M13" s="22">
        <f t="shared" si="0"/>
        <v>502580.06986055814</v>
      </c>
      <c r="N13" s="6"/>
      <c r="O13" s="6"/>
      <c r="P13" s="2"/>
      <c r="Q13" s="7"/>
    </row>
    <row r="14" spans="1:17">
      <c r="A14" s="8">
        <v>8</v>
      </c>
      <c r="B14" s="20" t="s">
        <v>24</v>
      </c>
      <c r="C14" s="37">
        <v>154085.84941142995</v>
      </c>
      <c r="D14" s="38">
        <v>0</v>
      </c>
      <c r="E14" s="38">
        <f>34585+692</f>
        <v>35277</v>
      </c>
      <c r="F14" s="38">
        <f>929+173</f>
        <v>1102</v>
      </c>
      <c r="G14" s="38">
        <v>0</v>
      </c>
      <c r="H14" s="38">
        <v>0</v>
      </c>
      <c r="I14" s="36">
        <v>613.18499999999995</v>
      </c>
      <c r="J14" s="9">
        <v>7452.3530000000001</v>
      </c>
      <c r="K14" s="9">
        <v>13184.12077116719</v>
      </c>
      <c r="L14" s="5">
        <v>0</v>
      </c>
      <c r="M14" s="22">
        <f t="shared" si="0"/>
        <v>211714.50818259714</v>
      </c>
      <c r="N14" s="6"/>
      <c r="O14" s="6"/>
      <c r="P14" s="2"/>
      <c r="Q14" s="7"/>
    </row>
    <row r="15" spans="1:17">
      <c r="A15" s="8">
        <v>9</v>
      </c>
      <c r="B15" s="20" t="s">
        <v>25</v>
      </c>
      <c r="C15" s="37">
        <v>56698.386812702003</v>
      </c>
      <c r="D15" s="38">
        <v>0</v>
      </c>
      <c r="E15" s="38">
        <f>2119+43</f>
        <v>2162</v>
      </c>
      <c r="F15" s="38">
        <f>929+10</f>
        <v>939</v>
      </c>
      <c r="G15" s="38">
        <v>0</v>
      </c>
      <c r="H15" s="38">
        <v>0</v>
      </c>
      <c r="I15" s="36">
        <v>613.18499999999995</v>
      </c>
      <c r="J15" s="9">
        <v>4824.3140000000003</v>
      </c>
      <c r="K15" s="9">
        <v>5226.6769509424703</v>
      </c>
      <c r="L15" s="5">
        <v>0</v>
      </c>
      <c r="M15" s="22">
        <f t="shared" si="0"/>
        <v>70463.56276364447</v>
      </c>
      <c r="N15" s="6"/>
      <c r="O15" s="6"/>
      <c r="P15" s="2"/>
      <c r="Q15" s="7"/>
    </row>
    <row r="16" spans="1:17">
      <c r="A16" s="8">
        <v>10</v>
      </c>
      <c r="B16" s="20" t="s">
        <v>26</v>
      </c>
      <c r="C16" s="37">
        <v>573030.86445721576</v>
      </c>
      <c r="D16" s="38">
        <v>21899.989509719995</v>
      </c>
      <c r="E16" s="38">
        <f>153525+3071</f>
        <v>156596</v>
      </c>
      <c r="F16" s="38">
        <f>14856+768</f>
        <v>15624</v>
      </c>
      <c r="G16" s="38">
        <v>39466.449999999997</v>
      </c>
      <c r="H16" s="38">
        <v>0</v>
      </c>
      <c r="I16" s="36">
        <v>1226.3699999999999</v>
      </c>
      <c r="J16" s="9">
        <v>23000.219000000001</v>
      </c>
      <c r="K16" s="9">
        <v>26496.854853564197</v>
      </c>
      <c r="L16" s="5">
        <v>0</v>
      </c>
      <c r="M16" s="22">
        <f t="shared" si="0"/>
        <v>857340.74782049994</v>
      </c>
      <c r="N16" s="6"/>
      <c r="O16" s="6"/>
      <c r="P16" s="2"/>
      <c r="Q16" s="7"/>
    </row>
    <row r="17" spans="1:17">
      <c r="A17" s="8">
        <v>11</v>
      </c>
      <c r="B17" s="20" t="s">
        <v>27</v>
      </c>
      <c r="C17" s="37">
        <v>489940.82108333253</v>
      </c>
      <c r="D17" s="38">
        <v>27401.334323999999</v>
      </c>
      <c r="E17" s="38">
        <f>214868+4298</f>
        <v>219166</v>
      </c>
      <c r="F17" s="38">
        <f>26463+1074</f>
        <v>27537</v>
      </c>
      <c r="G17" s="38">
        <v>27486.75</v>
      </c>
      <c r="H17" s="38">
        <v>19938.281999999999</v>
      </c>
      <c r="I17" s="36">
        <v>3065.9250000000002</v>
      </c>
      <c r="J17" s="9">
        <v>16742.62</v>
      </c>
      <c r="K17" s="9">
        <v>6458.8866887701797</v>
      </c>
      <c r="L17" s="5">
        <v>0</v>
      </c>
      <c r="M17" s="22">
        <f t="shared" si="0"/>
        <v>837737.61909610266</v>
      </c>
      <c r="N17" s="6"/>
      <c r="O17" s="6"/>
      <c r="P17" s="2"/>
      <c r="Q17" s="7"/>
    </row>
    <row r="18" spans="1:17">
      <c r="A18" s="8">
        <v>12</v>
      </c>
      <c r="B18" s="20" t="s">
        <v>28</v>
      </c>
      <c r="C18" s="37">
        <v>419583.16056001751</v>
      </c>
      <c r="D18" s="38">
        <v>20491.853744460001</v>
      </c>
      <c r="E18" s="38">
        <f>168475+3369</f>
        <v>171844</v>
      </c>
      <c r="F18" s="38">
        <f>8357+842</f>
        <v>9199</v>
      </c>
      <c r="G18" s="38">
        <v>29727.35</v>
      </c>
      <c r="H18" s="38">
        <v>0</v>
      </c>
      <c r="I18" s="36">
        <v>2452.7399999999998</v>
      </c>
      <c r="J18" s="9">
        <v>8163.4369999999999</v>
      </c>
      <c r="K18" s="9">
        <v>19345.169460305751</v>
      </c>
      <c r="L18" s="5">
        <v>0</v>
      </c>
      <c r="M18" s="22">
        <f t="shared" si="0"/>
        <v>680806.7107647832</v>
      </c>
      <c r="N18" s="6"/>
      <c r="O18" s="6"/>
      <c r="P18" s="2"/>
      <c r="Q18" s="7"/>
    </row>
    <row r="19" spans="1:17">
      <c r="A19" s="8">
        <v>13</v>
      </c>
      <c r="B19" s="20" t="s">
        <v>29</v>
      </c>
      <c r="C19" s="37">
        <v>96193.628512960553</v>
      </c>
      <c r="D19" s="38">
        <v>0</v>
      </c>
      <c r="E19" s="38">
        <f>7527+151</f>
        <v>7678</v>
      </c>
      <c r="F19" s="38">
        <f>0+38</f>
        <v>38</v>
      </c>
      <c r="G19" s="38">
        <v>0</v>
      </c>
      <c r="H19" s="38">
        <v>0</v>
      </c>
      <c r="I19" s="36">
        <v>613.26099999999997</v>
      </c>
      <c r="J19" s="9">
        <v>2689.2730000000001</v>
      </c>
      <c r="K19" s="9">
        <v>7074.9915576840394</v>
      </c>
      <c r="L19" s="24">
        <v>10000</v>
      </c>
      <c r="M19" s="22">
        <f t="shared" si="0"/>
        <v>124287.1540706446</v>
      </c>
      <c r="N19" s="6"/>
      <c r="O19" s="6"/>
      <c r="P19" s="2"/>
      <c r="Q19" s="7"/>
    </row>
    <row r="20" spans="1:17">
      <c r="A20" s="8">
        <v>14</v>
      </c>
      <c r="B20" s="20" t="s">
        <v>30</v>
      </c>
      <c r="C20" s="37">
        <v>66271.66249420977</v>
      </c>
      <c r="D20" s="38">
        <v>0</v>
      </c>
      <c r="E20" s="38">
        <f>23408+468</f>
        <v>23876</v>
      </c>
      <c r="F20" s="38">
        <f>3714+117</f>
        <v>3831</v>
      </c>
      <c r="G20" s="38">
        <v>0</v>
      </c>
      <c r="H20" s="38">
        <v>0</v>
      </c>
      <c r="I20" s="36">
        <v>3679.11</v>
      </c>
      <c r="J20" s="9">
        <v>12866.492</v>
      </c>
      <c r="K20" s="9">
        <v>2198.0720820286083</v>
      </c>
      <c r="L20" s="24">
        <v>0</v>
      </c>
      <c r="M20" s="22">
        <f t="shared" si="0"/>
        <v>112722.33657623838</v>
      </c>
      <c r="N20" s="6"/>
      <c r="O20" s="6"/>
      <c r="P20" s="2"/>
      <c r="Q20" s="7"/>
    </row>
    <row r="21" spans="1:17">
      <c r="A21" s="8">
        <v>15</v>
      </c>
      <c r="B21" s="20" t="s">
        <v>31</v>
      </c>
      <c r="C21" s="37">
        <v>147445.87599139631</v>
      </c>
      <c r="D21" s="38">
        <v>17406.170680584004</v>
      </c>
      <c r="E21" s="38">
        <f>81120+1600</f>
        <v>82720</v>
      </c>
      <c r="F21" s="38">
        <f>4642+406</f>
        <v>5048</v>
      </c>
      <c r="G21" s="38">
        <v>25327.45</v>
      </c>
      <c r="H21" s="38">
        <v>0</v>
      </c>
      <c r="I21" s="36">
        <v>2452.7399999999998</v>
      </c>
      <c r="J21" s="9">
        <v>7341.3469999999998</v>
      </c>
      <c r="K21" s="9">
        <v>8255.28181985632</v>
      </c>
      <c r="L21" s="24">
        <v>0</v>
      </c>
      <c r="M21" s="22">
        <f t="shared" si="0"/>
        <v>295996.86549183668</v>
      </c>
      <c r="N21" s="6"/>
      <c r="O21" s="6"/>
      <c r="P21" s="2"/>
      <c r="Q21" s="7"/>
    </row>
    <row r="22" spans="1:17">
      <c r="A22" s="8">
        <v>16</v>
      </c>
      <c r="B22" s="20" t="s">
        <v>32</v>
      </c>
      <c r="C22" s="37">
        <v>160346.53123729458</v>
      </c>
      <c r="D22" s="38">
        <v>6217.9950966000015</v>
      </c>
      <c r="E22" s="38">
        <f>64855+1298</f>
        <v>66153</v>
      </c>
      <c r="F22" s="38">
        <f>2786+324</f>
        <v>3110</v>
      </c>
      <c r="G22" s="38">
        <v>8110.15</v>
      </c>
      <c r="H22" s="38">
        <v>0</v>
      </c>
      <c r="I22" s="36">
        <v>2452.7399999999998</v>
      </c>
      <c r="J22" s="9">
        <v>18613.488000000001</v>
      </c>
      <c r="K22" s="9">
        <v>2198.0720820286083</v>
      </c>
      <c r="L22" s="24">
        <v>0</v>
      </c>
      <c r="M22" s="22">
        <f t="shared" si="0"/>
        <v>267201.97641592321</v>
      </c>
      <c r="N22" s="6"/>
      <c r="O22" s="6"/>
      <c r="P22" s="2"/>
      <c r="Q22" s="7"/>
    </row>
    <row r="23" spans="1:17">
      <c r="A23" s="8">
        <v>17</v>
      </c>
      <c r="B23" s="20" t="s">
        <v>33</v>
      </c>
      <c r="C23" s="37">
        <v>108339.83570815895</v>
      </c>
      <c r="D23" s="38">
        <v>6481.4694651</v>
      </c>
      <c r="E23" s="38">
        <f>25385+507</f>
        <v>25892</v>
      </c>
      <c r="F23" s="38">
        <f>2321+127</f>
        <v>2448</v>
      </c>
      <c r="G23" s="38">
        <v>8962.4500000000007</v>
      </c>
      <c r="H23" s="38">
        <v>0</v>
      </c>
      <c r="I23" s="36">
        <v>3065.9250000000002</v>
      </c>
      <c r="J23" s="9">
        <v>1526.7149999999999</v>
      </c>
      <c r="K23" s="9">
        <v>2198.0720820286083</v>
      </c>
      <c r="L23" s="24">
        <v>0</v>
      </c>
      <c r="M23" s="22">
        <f t="shared" si="0"/>
        <v>158914.46725528757</v>
      </c>
      <c r="N23" s="6"/>
      <c r="O23" s="6"/>
      <c r="P23" s="2"/>
      <c r="Q23" s="7"/>
    </row>
    <row r="24" spans="1:17">
      <c r="A24" s="8">
        <v>18</v>
      </c>
      <c r="B24" s="20" t="s">
        <v>34</v>
      </c>
      <c r="C24" s="37">
        <v>83210.582367414536</v>
      </c>
      <c r="D24" s="38">
        <v>0</v>
      </c>
      <c r="E24" s="38">
        <f>11058+220</f>
        <v>11278</v>
      </c>
      <c r="F24" s="38">
        <f>464+56</f>
        <v>520</v>
      </c>
      <c r="G24" s="38">
        <v>6804.15</v>
      </c>
      <c r="H24" s="38">
        <v>0</v>
      </c>
      <c r="I24" s="36">
        <v>1226.3699999999999</v>
      </c>
      <c r="J24" s="9">
        <v>4275.2550000000001</v>
      </c>
      <c r="K24" s="9">
        <v>2198.0720820286083</v>
      </c>
      <c r="L24" s="24">
        <v>0</v>
      </c>
      <c r="M24" s="22">
        <f t="shared" si="0"/>
        <v>109512.42944944315</v>
      </c>
      <c r="N24" s="6"/>
      <c r="O24" s="6"/>
      <c r="P24" s="2"/>
      <c r="Q24" s="7"/>
    </row>
    <row r="25" spans="1:17">
      <c r="A25" s="8">
        <v>19</v>
      </c>
      <c r="B25" s="20" t="s">
        <v>35</v>
      </c>
      <c r="C25" s="37">
        <v>374450.55474116845</v>
      </c>
      <c r="D25" s="38">
        <v>0</v>
      </c>
      <c r="E25" s="38">
        <f>92945+1859</f>
        <v>94804</v>
      </c>
      <c r="F25" s="38">
        <f>7892+465</f>
        <v>8357</v>
      </c>
      <c r="G25" s="38">
        <v>0</v>
      </c>
      <c r="H25" s="38">
        <v>0</v>
      </c>
      <c r="I25" s="36">
        <v>0</v>
      </c>
      <c r="J25" s="9">
        <v>0</v>
      </c>
      <c r="K25" s="9">
        <v>2814.1769509424703</v>
      </c>
      <c r="L25" s="24">
        <v>0</v>
      </c>
      <c r="M25" s="22">
        <f t="shared" si="0"/>
        <v>480425.73169211089</v>
      </c>
      <c r="N25" s="6"/>
      <c r="O25" s="6"/>
      <c r="P25" s="2"/>
      <c r="Q25" s="7"/>
    </row>
    <row r="26" spans="1:17">
      <c r="A26" s="8">
        <v>20</v>
      </c>
      <c r="B26" s="20" t="s">
        <v>36</v>
      </c>
      <c r="C26" s="37">
        <v>154254.34395080633</v>
      </c>
      <c r="D26" s="38">
        <v>12253.665930198</v>
      </c>
      <c r="E26" s="38">
        <f>65926+1318</f>
        <v>67244</v>
      </c>
      <c r="F26" s="38">
        <f>3714+330</f>
        <v>4044</v>
      </c>
      <c r="G26" s="38">
        <v>12471.25</v>
      </c>
      <c r="H26" s="38">
        <v>0</v>
      </c>
      <c r="I26" s="36">
        <v>613.18499999999995</v>
      </c>
      <c r="J26" s="9">
        <v>5367.4589999999998</v>
      </c>
      <c r="K26" s="9">
        <v>10719.70129551175</v>
      </c>
      <c r="L26" s="24">
        <v>0</v>
      </c>
      <c r="M26" s="22">
        <f t="shared" si="0"/>
        <v>266967.60517651611</v>
      </c>
      <c r="N26" s="6"/>
      <c r="O26" s="6"/>
      <c r="P26" s="2"/>
      <c r="Q26" s="7"/>
    </row>
    <row r="27" spans="1:17">
      <c r="A27" s="8">
        <v>21</v>
      </c>
      <c r="B27" s="20" t="s">
        <v>37</v>
      </c>
      <c r="C27" s="37">
        <v>48235.916176523686</v>
      </c>
      <c r="D27" s="38">
        <v>0</v>
      </c>
      <c r="E27" s="38">
        <f>7749+154</f>
        <v>7903</v>
      </c>
      <c r="F27" s="38">
        <f>2321+39</f>
        <v>2360</v>
      </c>
      <c r="G27" s="38">
        <v>0</v>
      </c>
      <c r="H27" s="38">
        <v>0</v>
      </c>
      <c r="I27" s="36">
        <v>613.18499999999995</v>
      </c>
      <c r="J27" s="9">
        <v>7341.3469999999998</v>
      </c>
      <c r="K27" s="9">
        <v>2198.0720820286083</v>
      </c>
      <c r="L27" s="24">
        <v>10000</v>
      </c>
      <c r="M27" s="22">
        <f t="shared" si="0"/>
        <v>78651.520258552293</v>
      </c>
      <c r="N27" s="6"/>
      <c r="O27" s="6"/>
      <c r="P27" s="2"/>
      <c r="Q27" s="7"/>
    </row>
    <row r="28" spans="1:17">
      <c r="A28" s="8">
        <v>22</v>
      </c>
      <c r="B28" s="20" t="s">
        <v>38</v>
      </c>
      <c r="C28" s="37">
        <v>105642.9594594238</v>
      </c>
      <c r="D28" s="38">
        <v>0</v>
      </c>
      <c r="E28" s="38">
        <f>22762+455</f>
        <v>23217</v>
      </c>
      <c r="F28" s="38">
        <f>1392+114</f>
        <v>1506</v>
      </c>
      <c r="G28" s="38">
        <v>0</v>
      </c>
      <c r="H28" s="38">
        <v>0</v>
      </c>
      <c r="I28" s="36">
        <v>2452.7399999999998</v>
      </c>
      <c r="J28" s="9">
        <v>9637.6059999999998</v>
      </c>
      <c r="K28" s="9">
        <v>2198.0720820286083</v>
      </c>
      <c r="L28" s="24">
        <v>0</v>
      </c>
      <c r="M28" s="22">
        <f t="shared" si="0"/>
        <v>144654.37754145241</v>
      </c>
      <c r="N28" s="6"/>
      <c r="O28" s="6"/>
      <c r="P28" s="2"/>
      <c r="Q28" s="7"/>
    </row>
    <row r="29" spans="1:17">
      <c r="A29" s="8">
        <v>23</v>
      </c>
      <c r="B29" s="20" t="s">
        <v>39</v>
      </c>
      <c r="C29" s="37">
        <v>94563.003163355432</v>
      </c>
      <c r="D29" s="38">
        <v>9360.1812971939999</v>
      </c>
      <c r="E29" s="38">
        <f>29824+596</f>
        <v>30420</v>
      </c>
      <c r="F29" s="38">
        <f>3250+149</f>
        <v>3399</v>
      </c>
      <c r="G29" s="38">
        <v>7494.55</v>
      </c>
      <c r="H29" s="38">
        <v>0</v>
      </c>
      <c r="I29" s="36">
        <v>3065.9250000000002</v>
      </c>
      <c r="J29" s="9">
        <v>8548.59</v>
      </c>
      <c r="K29" s="9">
        <v>2814.1769509424703</v>
      </c>
      <c r="L29" s="24">
        <v>0</v>
      </c>
      <c r="M29" s="22">
        <f t="shared" si="0"/>
        <v>159665.42641149191</v>
      </c>
      <c r="N29" s="6"/>
      <c r="O29" s="6"/>
      <c r="P29" s="2"/>
      <c r="Q29" s="7"/>
    </row>
    <row r="30" spans="1:17">
      <c r="A30" s="8">
        <v>24</v>
      </c>
      <c r="B30" s="20" t="s">
        <v>40</v>
      </c>
      <c r="C30" s="37">
        <v>46690.545176250846</v>
      </c>
      <c r="D30" s="38">
        <v>0</v>
      </c>
      <c r="E30" s="38">
        <f>6114+122</f>
        <v>6236</v>
      </c>
      <c r="F30" s="38">
        <f>0+31</f>
        <v>31</v>
      </c>
      <c r="G30" s="38">
        <v>0</v>
      </c>
      <c r="H30" s="38">
        <v>0</v>
      </c>
      <c r="I30" s="36">
        <v>613.18499999999995</v>
      </c>
      <c r="J30" s="9">
        <v>1654.9369999999999</v>
      </c>
      <c r="K30" s="9">
        <v>2814.1769509424703</v>
      </c>
      <c r="L30" s="24">
        <v>0</v>
      </c>
      <c r="M30" s="22">
        <f t="shared" si="0"/>
        <v>58039.844127193312</v>
      </c>
      <c r="N30" s="6"/>
      <c r="O30" s="6"/>
      <c r="P30" s="2"/>
      <c r="Q30" s="7"/>
    </row>
    <row r="31" spans="1:17">
      <c r="A31" s="8">
        <v>25</v>
      </c>
      <c r="B31" s="20" t="s">
        <v>41</v>
      </c>
      <c r="C31" s="37">
        <v>324808.23298653623</v>
      </c>
      <c r="D31" s="38">
        <v>21077.949480000003</v>
      </c>
      <c r="E31" s="38">
        <f>163270+3200</f>
        <v>166470</v>
      </c>
      <c r="F31" s="38">
        <f>14856+816</f>
        <v>15672</v>
      </c>
      <c r="G31" s="38">
        <v>25356.35</v>
      </c>
      <c r="H31" s="38">
        <v>0</v>
      </c>
      <c r="I31" s="36">
        <v>3065.9250000000002</v>
      </c>
      <c r="J31" s="9">
        <v>6267.4660000000003</v>
      </c>
      <c r="K31" s="9">
        <v>19961.27432921965</v>
      </c>
      <c r="L31" s="24">
        <v>0</v>
      </c>
      <c r="M31" s="22">
        <f t="shared" si="0"/>
        <v>582679.19779575593</v>
      </c>
      <c r="N31" s="6"/>
      <c r="O31" s="6"/>
      <c r="P31" s="2"/>
      <c r="Q31" s="7"/>
    </row>
    <row r="32" spans="1:17">
      <c r="A32" s="8">
        <v>26</v>
      </c>
      <c r="B32" s="20" t="s">
        <v>42</v>
      </c>
      <c r="C32" s="37">
        <v>219206.99072833807</v>
      </c>
      <c r="D32" s="38">
        <v>0</v>
      </c>
      <c r="E32" s="38">
        <f>49460+988</f>
        <v>50448</v>
      </c>
      <c r="F32" s="38">
        <f>2786+248</f>
        <v>3034</v>
      </c>
      <c r="G32" s="38">
        <v>12056.45</v>
      </c>
      <c r="H32" s="38">
        <v>0</v>
      </c>
      <c r="I32" s="36">
        <v>3065.9250000000002</v>
      </c>
      <c r="J32" s="9">
        <v>6810.25</v>
      </c>
      <c r="K32" s="9">
        <v>7691.0964265979001</v>
      </c>
      <c r="L32" s="24">
        <v>0</v>
      </c>
      <c r="M32" s="22">
        <f t="shared" si="0"/>
        <v>302312.71215493599</v>
      </c>
      <c r="N32" s="6"/>
      <c r="O32" s="6"/>
      <c r="P32" s="2"/>
      <c r="Q32" s="7"/>
    </row>
    <row r="33" spans="1:17">
      <c r="A33" s="8">
        <v>27</v>
      </c>
      <c r="B33" s="20" t="s">
        <v>43</v>
      </c>
      <c r="C33" s="37">
        <v>118949.85786240973</v>
      </c>
      <c r="D33" s="38">
        <v>0</v>
      </c>
      <c r="E33" s="38">
        <f>60255+1206</f>
        <v>61461</v>
      </c>
      <c r="F33" s="38">
        <f>4642+301</f>
        <v>4943</v>
      </c>
      <c r="G33" s="38">
        <v>11249.15</v>
      </c>
      <c r="H33" s="38">
        <v>2477.538</v>
      </c>
      <c r="I33" s="36">
        <v>613.18499999999995</v>
      </c>
      <c r="J33" s="9">
        <v>1928.0029999999999</v>
      </c>
      <c r="K33" s="9">
        <v>5226.6769509424703</v>
      </c>
      <c r="L33" s="24">
        <v>0</v>
      </c>
      <c r="M33" s="22">
        <f t="shared" si="0"/>
        <v>206848.41081335221</v>
      </c>
      <c r="N33" s="6"/>
      <c r="O33" s="6"/>
      <c r="P33" s="2"/>
      <c r="Q33" s="7"/>
    </row>
    <row r="34" spans="1:17">
      <c r="A34" s="8">
        <v>28</v>
      </c>
      <c r="B34" s="20" t="s">
        <v>44</v>
      </c>
      <c r="C34" s="37">
        <v>249565.82377078838</v>
      </c>
      <c r="D34" s="38">
        <v>18723.108600000003</v>
      </c>
      <c r="E34" s="38">
        <f>83624+1673</f>
        <v>85297</v>
      </c>
      <c r="F34" s="38">
        <f>3714+418</f>
        <v>4132</v>
      </c>
      <c r="G34" s="38">
        <v>41137.449999999997</v>
      </c>
      <c r="H34" s="38">
        <v>2359.56</v>
      </c>
      <c r="I34" s="36">
        <v>3065.9250000000002</v>
      </c>
      <c r="J34" s="9">
        <v>18401.792000000001</v>
      </c>
      <c r="K34" s="9">
        <v>5226.6769509424703</v>
      </c>
      <c r="L34" s="24">
        <v>0</v>
      </c>
      <c r="M34" s="22">
        <f t="shared" si="0"/>
        <v>427909.33632173087</v>
      </c>
      <c r="N34" s="6"/>
      <c r="O34" s="6"/>
      <c r="P34" s="2"/>
      <c r="Q34" s="7"/>
    </row>
    <row r="35" spans="1:17">
      <c r="A35" s="8">
        <v>29</v>
      </c>
      <c r="B35" s="20" t="s">
        <v>45</v>
      </c>
      <c r="C35" s="37">
        <v>183099.70317870224</v>
      </c>
      <c r="D35" s="38">
        <v>0</v>
      </c>
      <c r="E35" s="38">
        <f>71797+1400</f>
        <v>73197</v>
      </c>
      <c r="F35" s="38">
        <f>9285+359</f>
        <v>9644</v>
      </c>
      <c r="G35" s="38">
        <v>7850.85</v>
      </c>
      <c r="H35" s="38">
        <v>0</v>
      </c>
      <c r="I35" s="36">
        <v>613.18499999999995</v>
      </c>
      <c r="J35" s="9">
        <v>3707.05</v>
      </c>
      <c r="K35" s="9">
        <v>11335.806164425609</v>
      </c>
      <c r="L35" s="24">
        <v>0</v>
      </c>
      <c r="M35" s="22">
        <f t="shared" si="0"/>
        <v>289447.59434312786</v>
      </c>
      <c r="N35" s="6"/>
      <c r="O35" s="6"/>
      <c r="P35" s="2"/>
      <c r="Q35" s="7"/>
    </row>
    <row r="36" spans="1:17">
      <c r="A36" s="8">
        <v>30</v>
      </c>
      <c r="B36" s="20" t="s">
        <v>46</v>
      </c>
      <c r="C36" s="37">
        <v>230553.3166120837</v>
      </c>
      <c r="D36" s="38">
        <v>8958.1285290000014</v>
      </c>
      <c r="E36" s="38">
        <f>95447+1909</f>
        <v>97356</v>
      </c>
      <c r="F36" s="38">
        <f>8357+477</f>
        <v>8834</v>
      </c>
      <c r="G36" s="38">
        <v>25734.75</v>
      </c>
      <c r="H36" s="38">
        <v>0</v>
      </c>
      <c r="I36" s="36">
        <v>3065.9250000000002</v>
      </c>
      <c r="J36" s="9">
        <v>4957</v>
      </c>
      <c r="K36" s="9">
        <v>13184.12077116719</v>
      </c>
      <c r="L36" s="24">
        <v>0</v>
      </c>
      <c r="M36" s="22">
        <f t="shared" si="0"/>
        <v>392643.24091225094</v>
      </c>
      <c r="N36" s="6"/>
      <c r="O36" s="6"/>
      <c r="P36" s="2"/>
      <c r="Q36" s="7"/>
    </row>
    <row r="37" spans="1:17">
      <c r="A37" s="8">
        <v>31</v>
      </c>
      <c r="B37" s="20" t="s">
        <v>47</v>
      </c>
      <c r="C37" s="37">
        <v>35241.284058502009</v>
      </c>
      <c r="D37" s="38">
        <v>0</v>
      </c>
      <c r="E37" s="38">
        <f>3995+80</f>
        <v>4075</v>
      </c>
      <c r="F37" s="38">
        <f>929+20</f>
        <v>949</v>
      </c>
      <c r="G37" s="38">
        <v>0</v>
      </c>
      <c r="H37" s="38">
        <v>0</v>
      </c>
      <c r="I37" s="36">
        <v>613.18499999999995</v>
      </c>
      <c r="J37" s="9">
        <v>6082.83</v>
      </c>
      <c r="K37" s="9">
        <v>2198.0720820286083</v>
      </c>
      <c r="L37" s="24">
        <v>0</v>
      </c>
      <c r="M37" s="22">
        <f t="shared" si="0"/>
        <v>49159.371140530617</v>
      </c>
      <c r="N37" s="6"/>
      <c r="O37" s="6"/>
      <c r="P37" s="2"/>
      <c r="Q37" s="7"/>
    </row>
    <row r="38" spans="1:17">
      <c r="A38" s="8">
        <v>32</v>
      </c>
      <c r="B38" s="20" t="s">
        <v>48</v>
      </c>
      <c r="C38" s="37">
        <v>169886.91810482179</v>
      </c>
      <c r="D38" s="38">
        <v>0</v>
      </c>
      <c r="E38" s="38">
        <f>66025+1320</f>
        <v>67345</v>
      </c>
      <c r="F38" s="38">
        <f>2321+331</f>
        <v>2652</v>
      </c>
      <c r="G38" s="38">
        <v>8110.15</v>
      </c>
      <c r="H38" s="38">
        <v>0</v>
      </c>
      <c r="I38" s="36">
        <v>3065.9250000000002</v>
      </c>
      <c r="J38" s="9">
        <v>23069</v>
      </c>
      <c r="K38" s="9">
        <v>5226.6769509424703</v>
      </c>
      <c r="L38" s="24">
        <v>0</v>
      </c>
      <c r="M38" s="22">
        <f t="shared" si="0"/>
        <v>279355.67005576426</v>
      </c>
      <c r="N38" s="6"/>
      <c r="O38" s="6"/>
      <c r="P38" s="2"/>
      <c r="Q38" s="7"/>
    </row>
    <row r="39" spans="1:17">
      <c r="A39" s="8">
        <v>33</v>
      </c>
      <c r="B39" s="20" t="s">
        <v>49</v>
      </c>
      <c r="C39" s="37">
        <v>284764.88936402573</v>
      </c>
      <c r="D39" s="38">
        <v>8909.6492451960003</v>
      </c>
      <c r="E39" s="38">
        <f>134252+2653</f>
        <v>136905</v>
      </c>
      <c r="F39" s="38">
        <f>8821+672</f>
        <v>9493</v>
      </c>
      <c r="G39" s="38">
        <v>11622.25</v>
      </c>
      <c r="H39" s="38">
        <v>0</v>
      </c>
      <c r="I39" s="36">
        <v>1226.3699999999999</v>
      </c>
      <c r="J39" s="9">
        <v>7020.1379999999999</v>
      </c>
      <c r="K39" s="9">
        <v>21193.48406704735</v>
      </c>
      <c r="L39" s="24">
        <v>0</v>
      </c>
      <c r="M39" s="22">
        <f t="shared" si="0"/>
        <v>481134.78067626909</v>
      </c>
      <c r="N39" s="6"/>
      <c r="O39" s="6"/>
      <c r="P39" s="2"/>
      <c r="Q39" s="7"/>
    </row>
    <row r="40" spans="1:17">
      <c r="A40" s="8">
        <v>34</v>
      </c>
      <c r="B40" s="20" t="s">
        <v>50</v>
      </c>
      <c r="C40" s="37">
        <v>184092.41681629536</v>
      </c>
      <c r="D40" s="38">
        <v>4053.2896850040011</v>
      </c>
      <c r="E40" s="38">
        <f>40216+805</f>
        <v>41021</v>
      </c>
      <c r="F40" s="39">
        <f>4178+201</f>
        <v>4379</v>
      </c>
      <c r="G40" s="38">
        <v>8027.25</v>
      </c>
      <c r="H40" s="38">
        <v>0</v>
      </c>
      <c r="I40" s="36">
        <v>3679.11</v>
      </c>
      <c r="J40" s="9">
        <v>12367.434999999999</v>
      </c>
      <c r="K40" s="9">
        <v>4046.3866887701797</v>
      </c>
      <c r="L40" s="24">
        <v>0</v>
      </c>
      <c r="M40" s="22">
        <f t="shared" si="0"/>
        <v>261665.88819006953</v>
      </c>
      <c r="N40" s="6"/>
      <c r="O40" s="6"/>
      <c r="P40" s="2"/>
      <c r="Q40" s="7"/>
    </row>
    <row r="41" spans="1:17">
      <c r="A41" s="8">
        <v>35</v>
      </c>
      <c r="B41" s="20" t="s">
        <v>51</v>
      </c>
      <c r="C41" s="37">
        <v>204938.16797584994</v>
      </c>
      <c r="D41" s="38">
        <v>0</v>
      </c>
      <c r="E41" s="38">
        <f>50103+1002</f>
        <v>51105</v>
      </c>
      <c r="F41" s="38">
        <f>6036+250</f>
        <v>6286</v>
      </c>
      <c r="G41" s="38">
        <v>0</v>
      </c>
      <c r="H41" s="38">
        <v>0</v>
      </c>
      <c r="I41" s="36">
        <v>1226.3699999999999</v>
      </c>
      <c r="J41" s="9">
        <v>8308.0920000000006</v>
      </c>
      <c r="K41" s="9">
        <v>15084.354853564149</v>
      </c>
      <c r="L41" s="24">
        <v>0</v>
      </c>
      <c r="M41" s="22">
        <f t="shared" si="0"/>
        <v>286947.98482941405</v>
      </c>
      <c r="N41" s="6"/>
      <c r="O41" s="6"/>
      <c r="P41" s="2"/>
      <c r="Q41" s="7"/>
    </row>
    <row r="42" spans="1:17">
      <c r="A42" s="8">
        <v>36</v>
      </c>
      <c r="B42" s="20" t="s">
        <v>52</v>
      </c>
      <c r="C42" s="37">
        <v>122349.87527914718</v>
      </c>
      <c r="D42" s="38">
        <v>0</v>
      </c>
      <c r="E42" s="38">
        <f>55352+3046</f>
        <v>58398</v>
      </c>
      <c r="F42" s="38">
        <f>4178+761</f>
        <v>4939</v>
      </c>
      <c r="G42" s="38">
        <v>8763.5499999999993</v>
      </c>
      <c r="H42" s="38">
        <v>0</v>
      </c>
      <c r="I42" s="36">
        <v>613.18499999999995</v>
      </c>
      <c r="J42" s="9">
        <v>6860.3530000000001</v>
      </c>
      <c r="K42" s="9">
        <v>5226.6769509424703</v>
      </c>
      <c r="L42" s="24">
        <v>0</v>
      </c>
      <c r="M42" s="22">
        <f t="shared" si="0"/>
        <v>207150.64023008966</v>
      </c>
      <c r="N42" s="6"/>
      <c r="O42" s="6"/>
      <c r="P42" s="2"/>
      <c r="Q42" s="7"/>
    </row>
    <row r="43" spans="1:17">
      <c r="A43" s="8">
        <v>37</v>
      </c>
      <c r="B43" s="20" t="s">
        <v>53</v>
      </c>
      <c r="C43" s="37">
        <v>142129.24763994376</v>
      </c>
      <c r="D43" s="38">
        <v>12140.898900479999</v>
      </c>
      <c r="E43" s="38">
        <f>61668+1234</f>
        <v>62902</v>
      </c>
      <c r="F43" s="38">
        <f>4642+308</f>
        <v>4950</v>
      </c>
      <c r="G43" s="38">
        <v>8268.5499999999993</v>
      </c>
      <c r="H43" s="38">
        <v>0</v>
      </c>
      <c r="I43" s="36">
        <v>2452.7399999999998</v>
      </c>
      <c r="J43" s="9">
        <v>24082.116999999998</v>
      </c>
      <c r="K43" s="9">
        <v>2198.0720820286083</v>
      </c>
      <c r="L43" s="24">
        <v>0</v>
      </c>
      <c r="M43" s="22">
        <f t="shared" si="0"/>
        <v>259123.62562245235</v>
      </c>
      <c r="N43" s="6"/>
      <c r="O43" s="6"/>
      <c r="P43" s="2"/>
      <c r="Q43" s="7"/>
    </row>
    <row r="44" spans="1:17">
      <c r="A44" s="8">
        <v>38</v>
      </c>
      <c r="B44" s="20" t="s">
        <v>54</v>
      </c>
      <c r="C44" s="37">
        <v>82220.150883296796</v>
      </c>
      <c r="D44" s="38">
        <v>0</v>
      </c>
      <c r="E44" s="38">
        <f>30066+601</f>
        <v>30667</v>
      </c>
      <c r="F44" s="38">
        <f>6036+150</f>
        <v>6186</v>
      </c>
      <c r="G44" s="38">
        <v>0</v>
      </c>
      <c r="H44" s="38">
        <v>0</v>
      </c>
      <c r="I44" s="36">
        <v>613.18499999999995</v>
      </c>
      <c r="J44" s="9">
        <v>4195.0550000000003</v>
      </c>
      <c r="K44" s="9">
        <v>2198.0720820286083</v>
      </c>
      <c r="L44" s="24">
        <v>0</v>
      </c>
      <c r="M44" s="22">
        <f t="shared" si="0"/>
        <v>126079.46296532539</v>
      </c>
      <c r="N44" s="6"/>
      <c r="O44" s="6"/>
      <c r="P44" s="2"/>
      <c r="Q44" s="7"/>
    </row>
    <row r="45" spans="1:17">
      <c r="A45" s="8">
        <v>39</v>
      </c>
      <c r="B45" s="20" t="s">
        <v>55</v>
      </c>
      <c r="C45" s="37">
        <v>152289.46235728162</v>
      </c>
      <c r="D45" s="38">
        <v>21078.269688000004</v>
      </c>
      <c r="E45" s="38">
        <f>51579+1032</f>
        <v>52611</v>
      </c>
      <c r="F45" s="38">
        <f>6036+258</f>
        <v>6294</v>
      </c>
      <c r="G45" s="38">
        <v>7850.85</v>
      </c>
      <c r="H45" s="38">
        <v>0</v>
      </c>
      <c r="I45" s="36">
        <v>3065.9250000000002</v>
      </c>
      <c r="J45" s="9">
        <v>17935.95</v>
      </c>
      <c r="K45" s="9">
        <v>5226.6769509424703</v>
      </c>
      <c r="L45" s="24">
        <v>0</v>
      </c>
      <c r="M45" s="22">
        <f t="shared" si="0"/>
        <v>266352.13399622409</v>
      </c>
      <c r="N45" s="6"/>
      <c r="O45" s="6"/>
      <c r="P45" s="2"/>
      <c r="Q45" s="7"/>
    </row>
    <row r="46" spans="1:17">
      <c r="A46" s="8">
        <v>40</v>
      </c>
      <c r="B46" s="20" t="s">
        <v>56</v>
      </c>
      <c r="C46" s="37">
        <v>95542.131370243282</v>
      </c>
      <c r="D46" s="38">
        <v>0</v>
      </c>
      <c r="E46" s="38">
        <f>38441+769</f>
        <v>39210</v>
      </c>
      <c r="F46" s="38">
        <f>2786+192</f>
        <v>2978</v>
      </c>
      <c r="G46" s="38">
        <v>8763.5499999999993</v>
      </c>
      <c r="H46" s="38">
        <v>0</v>
      </c>
      <c r="I46" s="36">
        <v>0</v>
      </c>
      <c r="J46" s="9">
        <v>1728.44</v>
      </c>
      <c r="K46" s="9">
        <v>2814.1769509424703</v>
      </c>
      <c r="L46" s="24">
        <v>0</v>
      </c>
      <c r="M46" s="22">
        <f t="shared" si="0"/>
        <v>151036.29832118575</v>
      </c>
      <c r="N46" s="6"/>
      <c r="O46" s="6"/>
      <c r="P46" s="2"/>
      <c r="Q46" s="7"/>
    </row>
    <row r="47" spans="1:17">
      <c r="A47" s="8">
        <v>41</v>
      </c>
      <c r="B47" s="20" t="s">
        <v>57</v>
      </c>
      <c r="C47" s="37">
        <v>96789.982749405055</v>
      </c>
      <c r="D47" s="38">
        <v>0</v>
      </c>
      <c r="E47" s="38">
        <f>31721+634</f>
        <v>32355</v>
      </c>
      <c r="F47" s="38">
        <f>929+159</f>
        <v>1088</v>
      </c>
      <c r="G47" s="38">
        <v>3708.65</v>
      </c>
      <c r="H47" s="38">
        <v>0</v>
      </c>
      <c r="I47" s="36">
        <v>613.18499999999995</v>
      </c>
      <c r="J47" s="9">
        <v>4121.62</v>
      </c>
      <c r="K47" s="9">
        <v>2198.0720820286083</v>
      </c>
      <c r="L47" s="24">
        <v>30000</v>
      </c>
      <c r="M47" s="22">
        <f t="shared" si="0"/>
        <v>170874.50983143365</v>
      </c>
      <c r="N47" s="6"/>
      <c r="O47" s="6"/>
      <c r="P47" s="2"/>
      <c r="Q47" s="7"/>
    </row>
    <row r="48" spans="1:17">
      <c r="A48" s="8">
        <v>42</v>
      </c>
      <c r="B48" s="20" t="s">
        <v>58</v>
      </c>
      <c r="C48" s="37">
        <v>85975.828680713879</v>
      </c>
      <c r="D48" s="38">
        <v>6323.384844000002</v>
      </c>
      <c r="E48" s="38">
        <f>21592+432</f>
        <v>22024</v>
      </c>
      <c r="F48" s="38">
        <f>2321+108</f>
        <v>2429</v>
      </c>
      <c r="G48" s="38">
        <v>7729.45</v>
      </c>
      <c r="H48" s="38">
        <v>0</v>
      </c>
      <c r="I48" s="36">
        <v>2452.7399999999998</v>
      </c>
      <c r="J48" s="9">
        <v>6502.3360000000002</v>
      </c>
      <c r="K48" s="9">
        <v>2198.0720820286083</v>
      </c>
      <c r="L48" s="24">
        <v>0</v>
      </c>
      <c r="M48" s="22">
        <f t="shared" si="0"/>
        <v>135634.8116067425</v>
      </c>
      <c r="N48" s="6"/>
      <c r="O48" s="6"/>
      <c r="P48" s="2"/>
      <c r="Q48" s="7"/>
    </row>
    <row r="49" spans="1:17">
      <c r="A49" s="8">
        <v>43</v>
      </c>
      <c r="B49" s="20" t="s">
        <v>59</v>
      </c>
      <c r="C49" s="37">
        <v>261066.36340658178</v>
      </c>
      <c r="D49" s="38">
        <v>0</v>
      </c>
      <c r="E49" s="38">
        <f>106078+2121</f>
        <v>108199</v>
      </c>
      <c r="F49" s="38">
        <f>7428+531</f>
        <v>7959</v>
      </c>
      <c r="G49" s="38">
        <v>10742.15</v>
      </c>
      <c r="H49" s="38">
        <v>0</v>
      </c>
      <c r="I49" s="36">
        <v>2452.7399999999998</v>
      </c>
      <c r="J49" s="9">
        <v>19512.246999999999</v>
      </c>
      <c r="K49" s="9">
        <v>2814.1769509424703</v>
      </c>
      <c r="L49" s="24">
        <v>0</v>
      </c>
      <c r="M49" s="22">
        <f t="shared" si="0"/>
        <v>412745.67735752428</v>
      </c>
      <c r="N49" s="6"/>
      <c r="O49" s="6"/>
      <c r="P49" s="2"/>
      <c r="Q49" s="7"/>
    </row>
    <row r="50" spans="1:17">
      <c r="A50" s="8">
        <v>44</v>
      </c>
      <c r="B50" s="21" t="s">
        <v>60</v>
      </c>
      <c r="C50" s="37">
        <v>72694.082587042401</v>
      </c>
      <c r="D50" s="38">
        <v>0</v>
      </c>
      <c r="E50" s="38">
        <f>26051+520</f>
        <v>26571</v>
      </c>
      <c r="F50" s="38">
        <f>3250+131</f>
        <v>3381</v>
      </c>
      <c r="G50" s="38">
        <v>3591.05</v>
      </c>
      <c r="H50" s="38">
        <v>0</v>
      </c>
      <c r="I50" s="36">
        <v>1226.3699999999999</v>
      </c>
      <c r="J50" s="9">
        <v>3267.3560000000002</v>
      </c>
      <c r="K50" s="9">
        <v>2198.0720820286083</v>
      </c>
      <c r="L50" s="24">
        <v>0</v>
      </c>
      <c r="M50" s="22">
        <f t="shared" si="0"/>
        <v>112928.93066907101</v>
      </c>
      <c r="N50" s="6"/>
      <c r="O50" s="6"/>
      <c r="P50" s="2"/>
      <c r="Q50" s="7"/>
    </row>
    <row r="51" spans="1:17">
      <c r="A51" s="8">
        <v>45</v>
      </c>
      <c r="B51" s="21" t="s">
        <v>61</v>
      </c>
      <c r="C51" s="37">
        <v>117256.30962414652</v>
      </c>
      <c r="D51" s="38">
        <v>0</v>
      </c>
      <c r="E51" s="38">
        <f>29137+583</f>
        <v>29720</v>
      </c>
      <c r="F51" s="38">
        <f>2321+145</f>
        <v>2466</v>
      </c>
      <c r="G51" s="38">
        <v>0</v>
      </c>
      <c r="H51" s="38">
        <v>0</v>
      </c>
      <c r="I51" s="36">
        <v>2452.7399999999998</v>
      </c>
      <c r="J51" s="9">
        <v>17581</v>
      </c>
      <c r="K51" s="9">
        <v>2198.0720820286083</v>
      </c>
      <c r="L51" s="24">
        <v>0</v>
      </c>
      <c r="M51" s="22">
        <f t="shared" si="0"/>
        <v>171674.12170617512</v>
      </c>
      <c r="N51" s="6"/>
      <c r="O51" s="6"/>
      <c r="P51" s="2"/>
      <c r="Q51" s="7"/>
    </row>
    <row r="52" spans="1:17">
      <c r="A52" s="8">
        <v>46</v>
      </c>
      <c r="B52" s="21" t="s">
        <v>62</v>
      </c>
      <c r="C52" s="37">
        <v>82122.993878028952</v>
      </c>
      <c r="D52" s="38">
        <v>13173.718425000001</v>
      </c>
      <c r="E52" s="38">
        <f>30674+614</f>
        <v>31288</v>
      </c>
      <c r="F52" s="38">
        <f>5571+153</f>
        <v>5724</v>
      </c>
      <c r="G52" s="38">
        <v>11512.05</v>
      </c>
      <c r="H52" s="38">
        <v>0</v>
      </c>
      <c r="I52" s="36">
        <v>3679.11</v>
      </c>
      <c r="J52" s="9">
        <v>6158.8869999999997</v>
      </c>
      <c r="K52" s="9">
        <v>2198.0720820286083</v>
      </c>
      <c r="L52" s="24">
        <v>0</v>
      </c>
      <c r="M52" s="22">
        <f t="shared" si="0"/>
        <v>155856.83138505757</v>
      </c>
      <c r="N52" s="6"/>
      <c r="O52" s="6"/>
      <c r="P52" s="2"/>
      <c r="Q52" s="7"/>
    </row>
    <row r="53" spans="1:17">
      <c r="A53" s="8">
        <v>47</v>
      </c>
      <c r="B53" s="21" t="s">
        <v>63</v>
      </c>
      <c r="C53" s="37">
        <v>25369.070696792234</v>
      </c>
      <c r="D53" s="38">
        <v>0</v>
      </c>
      <c r="E53" s="38">
        <f>4943+99</f>
        <v>5042</v>
      </c>
      <c r="F53" s="38">
        <f>0+25</f>
        <v>25</v>
      </c>
      <c r="G53" s="38">
        <v>0</v>
      </c>
      <c r="H53" s="38">
        <v>0</v>
      </c>
      <c r="I53" s="36">
        <v>613.18499999999995</v>
      </c>
      <c r="J53" s="9">
        <v>296.82600000000002</v>
      </c>
      <c r="K53" s="9">
        <v>2198.0720820286083</v>
      </c>
      <c r="L53" s="24">
        <v>0</v>
      </c>
      <c r="M53" s="22">
        <f t="shared" si="0"/>
        <v>33544.153778820844</v>
      </c>
      <c r="N53" s="6"/>
      <c r="O53" s="6"/>
      <c r="P53" s="2"/>
      <c r="Q53" s="7"/>
    </row>
    <row r="54" spans="1:17">
      <c r="A54" s="8">
        <v>48</v>
      </c>
      <c r="B54" s="21" t="s">
        <v>64</v>
      </c>
      <c r="C54" s="37">
        <v>81881.895166460861</v>
      </c>
      <c r="D54" s="38">
        <v>0</v>
      </c>
      <c r="E54" s="38">
        <f>18100+361</f>
        <v>18461</v>
      </c>
      <c r="F54" s="38">
        <f>1857+91</f>
        <v>1948</v>
      </c>
      <c r="G54" s="38">
        <v>0</v>
      </c>
      <c r="H54" s="38">
        <v>0</v>
      </c>
      <c r="I54" s="36">
        <v>0</v>
      </c>
      <c r="J54" s="9">
        <v>3775.2779999999998</v>
      </c>
      <c r="K54" s="9">
        <v>5842.78181985632</v>
      </c>
      <c r="L54" s="24">
        <v>0</v>
      </c>
      <c r="M54" s="22">
        <f t="shared" si="0"/>
        <v>111908.95498631719</v>
      </c>
      <c r="N54" s="6"/>
      <c r="O54" s="6"/>
      <c r="P54" s="2"/>
      <c r="Q54" s="7"/>
    </row>
    <row r="55" spans="1:17">
      <c r="A55" s="8">
        <v>49</v>
      </c>
      <c r="B55" s="21" t="s">
        <v>65</v>
      </c>
      <c r="C55" s="37">
        <v>99534.81900832674</v>
      </c>
      <c r="D55" s="38">
        <v>0</v>
      </c>
      <c r="E55" s="38">
        <f>25587+512</f>
        <v>26099</v>
      </c>
      <c r="F55" s="38">
        <f>1857+128</f>
        <v>1985</v>
      </c>
      <c r="G55" s="38">
        <v>0</v>
      </c>
      <c r="H55" s="38">
        <v>0</v>
      </c>
      <c r="I55" s="36">
        <v>613.18499999999995</v>
      </c>
      <c r="J55" s="9">
        <v>0</v>
      </c>
      <c r="K55" s="9">
        <v>2198.0720820286083</v>
      </c>
      <c r="L55" s="24">
        <v>0</v>
      </c>
      <c r="M55" s="22">
        <f t="shared" si="0"/>
        <v>130430.07609035535</v>
      </c>
      <c r="N55" s="6"/>
      <c r="O55" s="6"/>
      <c r="P55" s="2"/>
      <c r="Q55" s="7"/>
    </row>
    <row r="56" spans="1:17">
      <c r="A56" s="8">
        <v>50</v>
      </c>
      <c r="B56" s="21" t="s">
        <v>66</v>
      </c>
      <c r="C56" s="37">
        <v>95102.376240782643</v>
      </c>
      <c r="D56" s="38">
        <v>17696.7</v>
      </c>
      <c r="E56" s="38">
        <f>42437+3000</f>
        <v>45437</v>
      </c>
      <c r="F56" s="38">
        <f>2321+800</f>
        <v>3121</v>
      </c>
      <c r="G56" s="38">
        <v>12676.35</v>
      </c>
      <c r="H56" s="38">
        <v>0</v>
      </c>
      <c r="I56" s="36">
        <v>1839.5550000000001</v>
      </c>
      <c r="J56" s="9">
        <v>0</v>
      </c>
      <c r="K56" s="9">
        <v>5226.6769509424703</v>
      </c>
      <c r="L56" s="24">
        <v>0</v>
      </c>
      <c r="M56" s="22">
        <f t="shared" si="0"/>
        <v>181099.65819172509</v>
      </c>
      <c r="N56" s="6"/>
      <c r="O56" s="6"/>
      <c r="P56" s="2"/>
      <c r="Q56" s="7"/>
    </row>
    <row r="57" spans="1:17">
      <c r="A57" s="8">
        <v>51</v>
      </c>
      <c r="B57" s="21" t="s">
        <v>67</v>
      </c>
      <c r="C57" s="37">
        <v>129843.25562850316</v>
      </c>
      <c r="D57" s="38">
        <v>0</v>
      </c>
      <c r="E57" s="38">
        <f>18544+371</f>
        <v>18915</v>
      </c>
      <c r="F57" s="38">
        <f>4178+93</f>
        <v>4271</v>
      </c>
      <c r="G57" s="38">
        <v>0</v>
      </c>
      <c r="H57" s="38">
        <v>0</v>
      </c>
      <c r="I57" s="36">
        <v>613.18499999999995</v>
      </c>
      <c r="J57" s="9">
        <v>2620.3180000000002</v>
      </c>
      <c r="K57" s="9">
        <v>5226.6769509424703</v>
      </c>
      <c r="L57" s="24">
        <v>0</v>
      </c>
      <c r="M57" s="22">
        <f t="shared" si="0"/>
        <v>161489.43557944562</v>
      </c>
      <c r="N57" s="6"/>
      <c r="O57" s="6"/>
      <c r="P57" s="2"/>
      <c r="Q57" s="7"/>
    </row>
    <row r="58" spans="1:17">
      <c r="A58" s="8">
        <v>52</v>
      </c>
      <c r="B58" s="21" t="s">
        <v>68</v>
      </c>
      <c r="C58" s="37">
        <v>96760.451381338265</v>
      </c>
      <c r="D58" s="38">
        <v>0</v>
      </c>
      <c r="E58" s="38">
        <f>38522+771</f>
        <v>39293</v>
      </c>
      <c r="F58" s="38">
        <f>2321+192</f>
        <v>2513</v>
      </c>
      <c r="G58" s="38">
        <v>0</v>
      </c>
      <c r="H58" s="38">
        <v>0</v>
      </c>
      <c r="I58" s="36">
        <v>613.18499999999995</v>
      </c>
      <c r="J58" s="9">
        <v>45.530999999999999</v>
      </c>
      <c r="K58" s="9">
        <v>5226.6769509424703</v>
      </c>
      <c r="L58" s="24">
        <v>0</v>
      </c>
      <c r="M58" s="22">
        <f t="shared" si="0"/>
        <v>144451.84433228074</v>
      </c>
      <c r="N58" s="6"/>
      <c r="O58" s="6"/>
      <c r="P58" s="2"/>
      <c r="Q58" s="7"/>
    </row>
    <row r="59" spans="1:17">
      <c r="A59" s="8">
        <v>53</v>
      </c>
      <c r="B59" s="21" t="s">
        <v>69</v>
      </c>
      <c r="C59" s="37">
        <v>490678.80885712139</v>
      </c>
      <c r="D59" s="38">
        <v>55762.769246814001</v>
      </c>
      <c r="E59" s="38">
        <f>143133+2802</f>
        <v>145935</v>
      </c>
      <c r="F59" s="38">
        <f>19963+716</f>
        <v>20679</v>
      </c>
      <c r="G59" s="38">
        <v>30678.45</v>
      </c>
      <c r="H59" s="38">
        <v>18480</v>
      </c>
      <c r="I59" s="36">
        <v>3679.11</v>
      </c>
      <c r="J59" s="9">
        <v>17856.726999999999</v>
      </c>
      <c r="K59" s="9">
        <v>11387.72564008104</v>
      </c>
      <c r="L59" s="24">
        <v>0</v>
      </c>
      <c r="M59" s="22">
        <f t="shared" si="0"/>
        <v>795137.59074401646</v>
      </c>
      <c r="N59" s="6"/>
      <c r="O59" s="6"/>
      <c r="P59" s="2"/>
      <c r="Q59" s="7"/>
    </row>
    <row r="60" spans="1:17">
      <c r="A60" s="8">
        <v>54</v>
      </c>
      <c r="B60" s="21" t="s">
        <v>70</v>
      </c>
      <c r="C60" s="37">
        <v>104519.54332683478</v>
      </c>
      <c r="D60" s="38">
        <v>10672.819719198002</v>
      </c>
      <c r="E60" s="38">
        <f>38683+774</f>
        <v>39457</v>
      </c>
      <c r="F60" s="38">
        <f>3714+193</f>
        <v>3907</v>
      </c>
      <c r="G60" s="38">
        <v>7845.55</v>
      </c>
      <c r="H60" s="38">
        <v>0</v>
      </c>
      <c r="I60" s="36">
        <v>1226.3699999999999</v>
      </c>
      <c r="J60" s="9">
        <v>12054.459000000001</v>
      </c>
      <c r="K60" s="9">
        <v>2198.0720820286083</v>
      </c>
      <c r="L60" s="24">
        <v>0</v>
      </c>
      <c r="M60" s="22">
        <f t="shared" si="0"/>
        <v>181880.81412806141</v>
      </c>
      <c r="N60" s="6"/>
      <c r="O60" s="6"/>
      <c r="P60" s="2"/>
      <c r="Q60" s="7"/>
    </row>
    <row r="61" spans="1:17">
      <c r="A61" s="8">
        <v>55</v>
      </c>
      <c r="B61" s="21" t="s">
        <v>71</v>
      </c>
      <c r="C61" s="37">
        <v>62243.335025182241</v>
      </c>
      <c r="D61" s="38">
        <v>6481.4694651</v>
      </c>
      <c r="E61" s="38">
        <f>33557+671</f>
        <v>34228</v>
      </c>
      <c r="F61" s="38">
        <f>2786+168</f>
        <v>2954</v>
      </c>
      <c r="G61" s="38">
        <v>7729.45</v>
      </c>
      <c r="H61" s="38">
        <v>0</v>
      </c>
      <c r="I61" s="36">
        <v>613.18499999999995</v>
      </c>
      <c r="J61" s="9">
        <v>5873.0770000000002</v>
      </c>
      <c r="K61" s="9">
        <v>2198.0720820286083</v>
      </c>
      <c r="L61" s="24">
        <v>0</v>
      </c>
      <c r="M61" s="22">
        <f t="shared" si="0"/>
        <v>122320.58857231085</v>
      </c>
      <c r="N61" s="6"/>
      <c r="O61" s="6"/>
      <c r="P61" s="2"/>
      <c r="Q61" s="7"/>
    </row>
    <row r="62" spans="1:17">
      <c r="A62" s="8">
        <v>56</v>
      </c>
      <c r="B62" s="21" t="s">
        <v>72</v>
      </c>
      <c r="C62" s="37">
        <v>1531458.9690016198</v>
      </c>
      <c r="D62" s="38">
        <v>86600.863233527998</v>
      </c>
      <c r="E62" s="38">
        <f>582975+11100</f>
        <v>594075</v>
      </c>
      <c r="F62" s="38">
        <f>70103+2815</f>
        <v>72918</v>
      </c>
      <c r="G62" s="38">
        <f>90019.05+8000</f>
        <v>98019.05</v>
      </c>
      <c r="H62" s="38">
        <v>0</v>
      </c>
      <c r="I62" s="36">
        <v>3679.11</v>
      </c>
      <c r="J62" s="9">
        <v>18863.8</v>
      </c>
      <c r="K62" s="9">
        <v>5842.78181985632</v>
      </c>
      <c r="L62" s="24">
        <v>0</v>
      </c>
      <c r="M62" s="22">
        <f t="shared" si="0"/>
        <v>2411457.5740550039</v>
      </c>
      <c r="N62" s="6"/>
      <c r="O62" s="6"/>
      <c r="P62" s="2"/>
      <c r="Q62" s="7"/>
    </row>
    <row r="63" spans="1:17">
      <c r="A63" s="8">
        <v>57</v>
      </c>
      <c r="B63" s="21" t="s">
        <v>73</v>
      </c>
      <c r="C63" s="37">
        <v>150080.1492363452</v>
      </c>
      <c r="D63" s="38">
        <v>0</v>
      </c>
      <c r="E63" s="38">
        <f>42458+849</f>
        <v>43307</v>
      </c>
      <c r="F63" s="38">
        <f>2786+212</f>
        <v>2998</v>
      </c>
      <c r="G63" s="38">
        <v>8961.9500000000007</v>
      </c>
      <c r="H63" s="38">
        <v>0</v>
      </c>
      <c r="I63" s="36">
        <v>3065.9250000000002</v>
      </c>
      <c r="J63" s="9">
        <v>8309.4930000000004</v>
      </c>
      <c r="K63" s="9">
        <v>2198.0720820286083</v>
      </c>
      <c r="L63" s="24">
        <v>0</v>
      </c>
      <c r="M63" s="22">
        <f t="shared" si="0"/>
        <v>218920.58931837382</v>
      </c>
      <c r="N63" s="6"/>
      <c r="O63" s="6"/>
      <c r="P63" s="2"/>
      <c r="Q63" s="7"/>
    </row>
    <row r="64" spans="1:17">
      <c r="A64" s="8">
        <v>58</v>
      </c>
      <c r="B64" s="21" t="s">
        <v>74</v>
      </c>
      <c r="C64" s="37">
        <v>91895.034756814406</v>
      </c>
      <c r="D64" s="38">
        <v>0</v>
      </c>
      <c r="E64" s="38">
        <f>27543+551</f>
        <v>28094</v>
      </c>
      <c r="F64" s="38">
        <f>464+138</f>
        <v>602</v>
      </c>
      <c r="G64" s="38">
        <v>0</v>
      </c>
      <c r="H64" s="38">
        <v>0</v>
      </c>
      <c r="I64" s="36">
        <v>613.18499999999995</v>
      </c>
      <c r="J64" s="27">
        <v>3591.0189999999998</v>
      </c>
      <c r="K64" s="27">
        <v>3430.28181985632</v>
      </c>
      <c r="L64" s="28">
        <v>0</v>
      </c>
      <c r="M64" s="29">
        <f t="shared" si="0"/>
        <v>128225.52057667072</v>
      </c>
      <c r="N64" s="6"/>
      <c r="O64" s="6"/>
      <c r="P64" s="2"/>
      <c r="Q64" s="7"/>
    </row>
    <row r="65" spans="1:19">
      <c r="A65" s="8">
        <v>59</v>
      </c>
      <c r="B65" s="21" t="s">
        <v>75</v>
      </c>
      <c r="C65" s="37">
        <v>154016.40778949205</v>
      </c>
      <c r="D65" s="38">
        <v>8400</v>
      </c>
      <c r="E65" s="38">
        <f>21893+439</f>
        <v>22332</v>
      </c>
      <c r="F65" s="38">
        <f>1857+109</f>
        <v>1966</v>
      </c>
      <c r="G65" s="38">
        <v>0</v>
      </c>
      <c r="H65" s="38">
        <v>0</v>
      </c>
      <c r="I65" s="36">
        <v>1839.5550000000001</v>
      </c>
      <c r="J65" s="27">
        <v>5440.4589999999998</v>
      </c>
      <c r="K65" s="27">
        <v>4046.3866887701797</v>
      </c>
      <c r="L65" s="28">
        <v>0</v>
      </c>
      <c r="M65" s="29">
        <f t="shared" si="0"/>
        <v>198040.80847826222</v>
      </c>
      <c r="N65" s="6"/>
      <c r="O65" s="6"/>
      <c r="P65" s="2"/>
      <c r="Q65" s="7"/>
    </row>
    <row r="66" spans="1:19">
      <c r="A66" s="8">
        <v>60</v>
      </c>
      <c r="B66" s="21" t="s">
        <v>76</v>
      </c>
      <c r="C66" s="37">
        <v>383792.50928510271</v>
      </c>
      <c r="D66" s="38">
        <v>24822.447205122</v>
      </c>
      <c r="E66" s="38">
        <f>160389+3200</f>
        <v>163589</v>
      </c>
      <c r="F66" s="38">
        <f>20427+802</f>
        <v>21229</v>
      </c>
      <c r="G66" s="38">
        <v>30922.1</v>
      </c>
      <c r="H66" s="38">
        <v>0</v>
      </c>
      <c r="I66" s="36">
        <v>3065.9250000000002</v>
      </c>
      <c r="J66" s="27">
        <v>2590.98</v>
      </c>
      <c r="K66" s="27">
        <v>21648.540246822668</v>
      </c>
      <c r="L66" s="28">
        <v>0</v>
      </c>
      <c r="M66" s="29">
        <f t="shared" si="0"/>
        <v>651660.50173704745</v>
      </c>
      <c r="N66" s="6"/>
      <c r="O66" s="6"/>
      <c r="P66" s="2"/>
      <c r="Q66" s="7"/>
    </row>
    <row r="67" spans="1:19">
      <c r="A67" s="10">
        <v>61</v>
      </c>
      <c r="B67" s="21" t="s">
        <v>77</v>
      </c>
      <c r="C67" s="37">
        <v>86140</v>
      </c>
      <c r="D67" s="38">
        <v>0</v>
      </c>
      <c r="E67" s="38">
        <f>31519+630</f>
        <v>32149</v>
      </c>
      <c r="F67" s="38">
        <f>1857+158</f>
        <v>2015</v>
      </c>
      <c r="G67" s="38">
        <v>0</v>
      </c>
      <c r="H67" s="38">
        <v>0</v>
      </c>
      <c r="I67" s="38">
        <v>613.18499999999995</v>
      </c>
      <c r="J67" s="27">
        <v>465.61700000000002</v>
      </c>
      <c r="K67" s="27">
        <v>2198.0720820286083</v>
      </c>
      <c r="L67" s="28">
        <v>0</v>
      </c>
      <c r="M67" s="29">
        <f t="shared" si="0"/>
        <v>123580.8740820286</v>
      </c>
      <c r="N67" s="6"/>
      <c r="O67" s="6"/>
      <c r="P67" s="2"/>
      <c r="Q67" s="7"/>
    </row>
    <row r="68" spans="1:19">
      <c r="A68" s="51" t="s">
        <v>78</v>
      </c>
      <c r="B68" s="52"/>
      <c r="C68" s="37">
        <f>9700000+300000</f>
        <v>10000000</v>
      </c>
      <c r="D68" s="38">
        <v>0</v>
      </c>
      <c r="E68" s="38">
        <v>0</v>
      </c>
      <c r="F68" s="38">
        <v>0</v>
      </c>
      <c r="G68" s="38">
        <v>0</v>
      </c>
      <c r="H68" s="38">
        <v>0</v>
      </c>
      <c r="I68" s="38">
        <v>0</v>
      </c>
      <c r="J68" s="27">
        <v>0</v>
      </c>
      <c r="K68" s="27">
        <v>0</v>
      </c>
      <c r="L68" s="28">
        <v>0</v>
      </c>
      <c r="M68" s="29">
        <f t="shared" si="0"/>
        <v>10000000</v>
      </c>
      <c r="N68" s="6"/>
      <c r="O68" s="6"/>
      <c r="P68" s="2"/>
      <c r="Q68" s="7"/>
    </row>
    <row r="69" spans="1:19" ht="15.75" thickBot="1">
      <c r="A69" s="49" t="s">
        <v>79</v>
      </c>
      <c r="B69" s="50"/>
      <c r="C69" s="26">
        <v>0</v>
      </c>
      <c r="D69" s="18">
        <v>0</v>
      </c>
      <c r="E69" s="18">
        <v>0</v>
      </c>
      <c r="F69" s="18">
        <v>0</v>
      </c>
      <c r="G69" s="30">
        <v>0</v>
      </c>
      <c r="H69" s="30">
        <v>0</v>
      </c>
      <c r="I69" s="30">
        <v>0</v>
      </c>
      <c r="J69" s="30">
        <v>2000000</v>
      </c>
      <c r="K69" s="30">
        <f>2450000+1000000</f>
        <v>3450000</v>
      </c>
      <c r="L69" s="46">
        <v>0</v>
      </c>
      <c r="M69" s="41">
        <f t="shared" si="0"/>
        <v>5450000</v>
      </c>
      <c r="N69" s="6"/>
      <c r="O69" s="6"/>
      <c r="P69" s="2"/>
      <c r="Q69" s="7"/>
    </row>
    <row r="70" spans="1:19" ht="15.75" thickBot="1">
      <c r="A70" s="47" t="s">
        <v>7</v>
      </c>
      <c r="B70" s="48"/>
      <c r="C70" s="11">
        <f>SUM(C7:C69)</f>
        <v>21393246.986567769</v>
      </c>
      <c r="D70" s="11">
        <f t="shared" ref="D70:L70" si="1">SUM(D7:D69)</f>
        <v>500368.75493257807</v>
      </c>
      <c r="E70" s="11">
        <f t="shared" si="1"/>
        <v>4033518</v>
      </c>
      <c r="F70" s="11">
        <f t="shared" si="1"/>
        <v>372174</v>
      </c>
      <c r="G70" s="11">
        <f t="shared" si="1"/>
        <v>648874</v>
      </c>
      <c r="H70" s="11">
        <f t="shared" si="1"/>
        <v>65671.199999999997</v>
      </c>
      <c r="I70" s="11">
        <f t="shared" si="1"/>
        <v>105467.89599999998</v>
      </c>
      <c r="J70" s="11">
        <f t="shared" si="1"/>
        <v>2500712.6579999998</v>
      </c>
      <c r="K70" s="11">
        <f t="shared" si="1"/>
        <v>3822500</v>
      </c>
      <c r="L70" s="11">
        <f t="shared" si="1"/>
        <v>50000</v>
      </c>
      <c r="M70" s="11">
        <f>L70+K70+J70+I70+H70+G70+F70+E70+D70+C70</f>
        <v>33492533.495500349</v>
      </c>
      <c r="N70" s="6"/>
      <c r="O70" s="6"/>
      <c r="P70" s="2"/>
      <c r="Q70" s="2"/>
    </row>
    <row r="71" spans="1:19">
      <c r="A71" s="12"/>
      <c r="B71" s="12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4"/>
      <c r="N71" s="6"/>
      <c r="O71" s="2"/>
      <c r="P71" s="2"/>
      <c r="Q71" s="2"/>
    </row>
    <row r="72" spans="1:19">
      <c r="A72" s="2"/>
      <c r="B72" s="2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2"/>
      <c r="O72" s="2"/>
      <c r="P72" s="2"/>
      <c r="Q72" s="2"/>
    </row>
    <row r="73" spans="1:19">
      <c r="A73" s="2"/>
      <c r="B73" s="31"/>
      <c r="C73" s="16"/>
      <c r="D73" s="6"/>
      <c r="E73" s="44"/>
      <c r="F73" s="45"/>
      <c r="G73" s="1"/>
      <c r="H73" s="1"/>
      <c r="I73" s="1"/>
      <c r="J73" s="1"/>
      <c r="K73" s="1"/>
      <c r="L73" s="1"/>
      <c r="M73" s="1"/>
      <c r="N73" s="2"/>
      <c r="O73" s="2"/>
      <c r="P73" s="2"/>
      <c r="Q73" s="2"/>
    </row>
    <row r="74" spans="1:19">
      <c r="A74" s="2"/>
      <c r="B74" s="31"/>
      <c r="C74" s="16"/>
      <c r="D74" s="2"/>
      <c r="E74" s="2"/>
      <c r="F74" s="33"/>
      <c r="G74" s="1"/>
      <c r="H74" s="1"/>
      <c r="I74" s="1"/>
      <c r="J74" s="1"/>
      <c r="K74" s="43"/>
      <c r="L74" s="1"/>
      <c r="M74" s="1"/>
      <c r="N74" s="2"/>
      <c r="O74" s="16"/>
      <c r="P74" s="2"/>
      <c r="Q74" s="2"/>
      <c r="R74" s="6"/>
      <c r="S74" s="2"/>
    </row>
    <row r="75" spans="1:19">
      <c r="A75" s="2"/>
      <c r="B75" s="31"/>
      <c r="C75" s="16"/>
      <c r="D75" s="6"/>
      <c r="E75" s="6"/>
      <c r="F75" s="32"/>
      <c r="L75" s="42"/>
      <c r="M75" s="42"/>
      <c r="N75" s="2"/>
      <c r="O75" s="15"/>
      <c r="P75" s="2"/>
      <c r="Q75" s="6"/>
      <c r="R75" s="2"/>
      <c r="S75" s="2"/>
    </row>
    <row r="76" spans="1:19">
      <c r="A76" s="2"/>
      <c r="B76" s="31"/>
      <c r="C76" s="16"/>
      <c r="D76" s="6"/>
      <c r="E76" s="6"/>
      <c r="F76" s="32"/>
      <c r="G76" s="42"/>
      <c r="H76" s="42"/>
      <c r="N76" s="2"/>
      <c r="O76" s="15"/>
      <c r="P76" s="2"/>
      <c r="Q76" s="6"/>
      <c r="R76" s="2"/>
      <c r="S76" s="2"/>
    </row>
    <row r="77" spans="1:19">
      <c r="A77" s="2"/>
      <c r="B77" s="40"/>
      <c r="C77" s="34"/>
      <c r="D77" s="1"/>
      <c r="E77" s="1"/>
      <c r="M77" s="42"/>
      <c r="N77" s="2"/>
      <c r="Q77" s="6"/>
      <c r="R77" s="2"/>
      <c r="S77" s="6"/>
    </row>
    <row r="78" spans="1:19">
      <c r="A78" s="1"/>
      <c r="B78" s="17"/>
      <c r="C78" s="17"/>
      <c r="D78" s="17"/>
      <c r="M78" s="42"/>
      <c r="N78" s="1"/>
      <c r="O78" s="1"/>
      <c r="P78" s="1"/>
      <c r="Q78" s="1"/>
    </row>
    <row r="79" spans="1:19">
      <c r="A79" s="1"/>
      <c r="B79" s="1"/>
      <c r="O79" s="1"/>
      <c r="P79" s="1"/>
      <c r="Q79" s="1"/>
    </row>
    <row r="80" spans="1:19">
      <c r="A80" s="1"/>
      <c r="B80" s="1"/>
      <c r="O80" s="43"/>
      <c r="P80" s="43"/>
      <c r="Q80" s="1"/>
    </row>
    <row r="85" spans="15:16">
      <c r="O85" s="42"/>
      <c r="P85" s="42"/>
    </row>
  </sheetData>
  <mergeCells count="10">
    <mergeCell ref="A70:B70"/>
    <mergeCell ref="A69:B69"/>
    <mergeCell ref="A68:B68"/>
    <mergeCell ref="D5:L5"/>
    <mergeCell ref="A3:M3"/>
    <mergeCell ref="J4:M4"/>
    <mergeCell ref="A5:A6"/>
    <mergeCell ref="B5:B6"/>
    <mergeCell ref="C5:C6"/>
    <mergeCell ref="M5:M6"/>
  </mergeCells>
  <pageMargins left="0.7" right="0.7" top="0.75" bottom="0.75" header="0.3" footer="0.3"/>
  <pageSetup paperSize="9" scale="5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Mariel Frroku</dc:creator>
  <cp:lastModifiedBy>xhoana.agolli2</cp:lastModifiedBy>
  <cp:lastPrinted>2016-12-15T16:46:02Z</cp:lastPrinted>
  <dcterms:created xsi:type="dcterms:W3CDTF">2016-07-26T13:59:18Z</dcterms:created>
  <dcterms:modified xsi:type="dcterms:W3CDTF">2016-12-16T11:53:20Z</dcterms:modified>
</cp:coreProperties>
</file>