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22995" windowHeight="10035" tabRatio="637" firstSheet="6" activeTab="11"/>
  </bookViews>
  <sheets>
    <sheet name="Formati 1 Misioni" sheetId="1" r:id="rId1"/>
    <sheet name="Formati 2.1 MSHP" sheetId="2" r:id="rId2"/>
    <sheet name="Formati 2.1 Tatime" sheetId="4" r:id="rId3"/>
    <sheet name="Formati 2.1 Dogana" sheetId="5" r:id="rId4"/>
    <sheet name="Formati 2.1 DPPP" sheetId="6" r:id="rId5"/>
    <sheet name="Formati 2.1Mbesht.Zhvillm.Ekon" sheetId="7" r:id="rId6"/>
    <sheet name="Formati 2.1Mbesht.Mbike.Treg" sheetId="8" r:id="rId7"/>
    <sheet name="Formati 2.1Sigurimi Shoqeror" sheetId="9" r:id="rId8"/>
    <sheet name="Formati 2.1Tregu i Punes" sheetId="10" r:id="rId9"/>
    <sheet name="Formati2.1 Inspektimi i Punes" sheetId="11" r:id="rId10"/>
    <sheet name="Formati 2.1 Arsimi Profesional" sheetId="12" r:id="rId11"/>
    <sheet name="Formati 2.1 Strehimi" sheetId="13" r:id="rId12"/>
  </sheets>
  <externalReferences>
    <externalReference r:id="rId13"/>
    <externalReference r:id="rId14"/>
    <externalReference r:id="rId15"/>
  </externalReferences>
  <calcPr calcId="144525"/>
</workbook>
</file>

<file path=xl/calcChain.xml><?xml version="1.0" encoding="utf-8"?>
<calcChain xmlns="http://schemas.openxmlformats.org/spreadsheetml/2006/main">
  <c r="G122" i="13" l="1"/>
  <c r="F122" i="13"/>
  <c r="E122" i="13"/>
  <c r="D122" i="13"/>
  <c r="G104" i="13"/>
  <c r="F104" i="13"/>
  <c r="E104" i="13"/>
  <c r="D104" i="13"/>
  <c r="G76" i="13"/>
  <c r="F76" i="13"/>
  <c r="E76" i="13"/>
  <c r="D76" i="13"/>
  <c r="G53" i="13"/>
  <c r="F53" i="13"/>
  <c r="E53" i="13"/>
  <c r="D53" i="13"/>
  <c r="G30" i="13"/>
  <c r="F30" i="13"/>
  <c r="E30" i="13"/>
  <c r="D30" i="13"/>
  <c r="H263" i="4" l="1"/>
  <c r="H262" i="4"/>
  <c r="G262" i="4"/>
  <c r="G263" i="4"/>
  <c r="F263" i="4"/>
  <c r="F262" i="4"/>
  <c r="E263" i="4"/>
  <c r="E262" i="4"/>
  <c r="H252" i="4"/>
  <c r="G252" i="4"/>
  <c r="F252" i="4"/>
  <c r="E252" i="4"/>
  <c r="H239" i="4"/>
  <c r="H238" i="4"/>
  <c r="H237" i="4"/>
  <c r="G239" i="4"/>
  <c r="G238" i="4"/>
  <c r="G237" i="4"/>
  <c r="F239" i="4"/>
  <c r="F238" i="4"/>
  <c r="F237" i="4"/>
  <c r="E239" i="4"/>
  <c r="E238" i="4"/>
  <c r="E237" i="4"/>
  <c r="H229" i="4"/>
  <c r="G229" i="4"/>
  <c r="F229" i="4"/>
  <c r="E229" i="4"/>
  <c r="F215" i="4"/>
  <c r="E215" i="4"/>
  <c r="F206" i="4"/>
  <c r="E206" i="4"/>
  <c r="E196" i="4"/>
  <c r="E187" i="4"/>
  <c r="H171" i="4"/>
  <c r="H170" i="4"/>
  <c r="H169" i="4"/>
  <c r="G171" i="4"/>
  <c r="G170" i="4"/>
  <c r="G169" i="4"/>
  <c r="F171" i="4"/>
  <c r="F170" i="4"/>
  <c r="F169" i="4"/>
  <c r="E171" i="4"/>
  <c r="E170" i="4"/>
  <c r="E169" i="4"/>
  <c r="H159" i="4"/>
  <c r="G159" i="4"/>
  <c r="F159" i="4"/>
  <c r="E159" i="4"/>
  <c r="E142" i="4"/>
  <c r="E133" i="4"/>
  <c r="E124" i="4"/>
  <c r="E115" i="4"/>
  <c r="E106" i="4"/>
  <c r="E97" i="4"/>
  <c r="G87" i="4"/>
  <c r="F87" i="4"/>
  <c r="E87" i="4"/>
  <c r="G79" i="4"/>
  <c r="F79" i="4"/>
  <c r="E79" i="4"/>
  <c r="G65" i="4"/>
  <c r="E65" i="4"/>
  <c r="G56" i="4"/>
  <c r="E56" i="4"/>
  <c r="H44" i="4"/>
  <c r="H43" i="4"/>
  <c r="H40" i="4"/>
  <c r="H39" i="4"/>
  <c r="H38" i="4"/>
  <c r="G44" i="4"/>
  <c r="G43" i="4"/>
  <c r="G40" i="4"/>
  <c r="G39" i="4"/>
  <c r="G38" i="4"/>
  <c r="F45" i="4"/>
  <c r="F44" i="4"/>
  <c r="F43" i="4"/>
  <c r="F40" i="4"/>
  <c r="F39" i="4"/>
  <c r="F38" i="4"/>
  <c r="E44" i="4"/>
  <c r="E43" i="4"/>
  <c r="E40" i="4"/>
  <c r="E39" i="4"/>
  <c r="E38" i="4"/>
  <c r="H30" i="4"/>
  <c r="G30" i="4"/>
  <c r="F30" i="4"/>
  <c r="E30" i="4"/>
  <c r="D122" i="12" l="1"/>
  <c r="E122" i="12"/>
  <c r="E125" i="12" s="1"/>
  <c r="F122" i="12"/>
  <c r="G122" i="12"/>
  <c r="G125" i="12" s="1"/>
  <c r="E123" i="12"/>
  <c r="F123" i="12"/>
  <c r="G123" i="12"/>
  <c r="E124" i="12"/>
  <c r="F124" i="12"/>
  <c r="G124" i="12"/>
  <c r="F125" i="12"/>
  <c r="D131" i="12"/>
  <c r="E131" i="12"/>
  <c r="F131" i="12"/>
  <c r="G131" i="12"/>
  <c r="D142" i="12"/>
  <c r="E142" i="12"/>
  <c r="F142" i="12"/>
  <c r="F145" i="12" s="1"/>
  <c r="G142" i="12"/>
  <c r="E143" i="12"/>
  <c r="F143" i="12"/>
  <c r="G143" i="12"/>
  <c r="E144" i="12"/>
  <c r="F144" i="12"/>
  <c r="G144" i="12"/>
  <c r="E145" i="12"/>
  <c r="G145" i="12"/>
  <c r="D151" i="12"/>
  <c r="E151" i="12"/>
  <c r="F151" i="12"/>
  <c r="G151" i="12"/>
  <c r="D160" i="12"/>
  <c r="E160" i="12"/>
  <c r="E163" i="12" s="1"/>
  <c r="F160" i="12"/>
  <c r="G160" i="12"/>
  <c r="G163" i="12" s="1"/>
  <c r="E161" i="12"/>
  <c r="F161" i="12"/>
  <c r="G161" i="12"/>
  <c r="E162" i="12"/>
  <c r="F162" i="12"/>
  <c r="G162" i="12"/>
  <c r="F163" i="12"/>
  <c r="D169" i="12"/>
  <c r="E169" i="12"/>
  <c r="F169" i="12"/>
  <c r="G169" i="12"/>
  <c r="G392" i="12"/>
  <c r="F392" i="12"/>
  <c r="E392" i="12"/>
  <c r="D392" i="12"/>
  <c r="G388" i="12"/>
  <c r="F388" i="12"/>
  <c r="E388" i="12"/>
  <c r="D388" i="12"/>
  <c r="G386" i="12"/>
  <c r="F386" i="12"/>
  <c r="E386" i="12"/>
  <c r="D386" i="12"/>
  <c r="G384" i="12"/>
  <c r="F384" i="12"/>
  <c r="E384" i="12"/>
  <c r="D384" i="12"/>
  <c r="D373" i="12"/>
  <c r="G372" i="12"/>
  <c r="G373" i="12" s="1"/>
  <c r="F372" i="12"/>
  <c r="F373" i="12" s="1"/>
  <c r="E372" i="12"/>
  <c r="E373" i="12" s="1"/>
  <c r="G365" i="12"/>
  <c r="F365" i="12"/>
  <c r="E365" i="12"/>
  <c r="D364" i="12"/>
  <c r="G363" i="12"/>
  <c r="F363" i="12"/>
  <c r="E363" i="12"/>
  <c r="E366" i="12" s="1"/>
  <c r="G354" i="12"/>
  <c r="G355" i="12" s="1"/>
  <c r="F354" i="12"/>
  <c r="F355" i="12" s="1"/>
  <c r="E354" i="12"/>
  <c r="E355" i="12" s="1"/>
  <c r="D354" i="12"/>
  <c r="D355" i="12" s="1"/>
  <c r="G347" i="12"/>
  <c r="F347" i="12"/>
  <c r="E347" i="12"/>
  <c r="G345" i="12"/>
  <c r="F345" i="12"/>
  <c r="E345" i="12"/>
  <c r="D345" i="12"/>
  <c r="D346" i="12" s="1"/>
  <c r="G335" i="12"/>
  <c r="F335" i="12"/>
  <c r="E335" i="12"/>
  <c r="D335" i="12"/>
  <c r="G328" i="12"/>
  <c r="F328" i="12"/>
  <c r="E328" i="12"/>
  <c r="G327" i="12"/>
  <c r="F327" i="12"/>
  <c r="E327" i="12"/>
  <c r="G326" i="12"/>
  <c r="F326" i="12"/>
  <c r="E326" i="12"/>
  <c r="D326" i="12"/>
  <c r="G316" i="12"/>
  <c r="G317" i="12" s="1"/>
  <c r="F316" i="12"/>
  <c r="F317" i="12" s="1"/>
  <c r="E316" i="12"/>
  <c r="E317" i="12" s="1"/>
  <c r="D316" i="12"/>
  <c r="D317" i="12" s="1"/>
  <c r="G309" i="12"/>
  <c r="F309" i="12"/>
  <c r="E309" i="12"/>
  <c r="G307" i="12"/>
  <c r="F307" i="12"/>
  <c r="E307" i="12"/>
  <c r="D307" i="12"/>
  <c r="D308" i="12" s="1"/>
  <c r="G291" i="12"/>
  <c r="F291" i="12"/>
  <c r="E291" i="12"/>
  <c r="D291" i="12"/>
  <c r="G290" i="12"/>
  <c r="F290" i="12"/>
  <c r="D290" i="12"/>
  <c r="G289" i="12"/>
  <c r="F289" i="12"/>
  <c r="E289" i="12"/>
  <c r="E290" i="12" s="1"/>
  <c r="D289" i="12"/>
  <c r="G283" i="12"/>
  <c r="F283" i="12"/>
  <c r="E283" i="12"/>
  <c r="G281" i="12"/>
  <c r="F281" i="12"/>
  <c r="E281" i="12"/>
  <c r="D281" i="12"/>
  <c r="D282" i="12" s="1"/>
  <c r="G268" i="12"/>
  <c r="F268" i="12"/>
  <c r="E268" i="12"/>
  <c r="D268" i="12"/>
  <c r="G267" i="12"/>
  <c r="F267" i="12"/>
  <c r="E267" i="12"/>
  <c r="D267" i="12"/>
  <c r="G266" i="12"/>
  <c r="F266" i="12"/>
  <c r="E266" i="12"/>
  <c r="D266" i="12"/>
  <c r="G260" i="12"/>
  <c r="F260" i="12"/>
  <c r="E260" i="12"/>
  <c r="G258" i="12"/>
  <c r="F258" i="12"/>
  <c r="E258" i="12"/>
  <c r="D258" i="12"/>
  <c r="D259" i="12" s="1"/>
  <c r="G245" i="12"/>
  <c r="F245" i="12"/>
  <c r="E245" i="12"/>
  <c r="D245" i="12"/>
  <c r="D250" i="12" s="1"/>
  <c r="G244" i="12"/>
  <c r="E244" i="12"/>
  <c r="G243" i="12"/>
  <c r="F243" i="12"/>
  <c r="F244" i="12" s="1"/>
  <c r="E243" i="12"/>
  <c r="G237" i="12"/>
  <c r="F237" i="12"/>
  <c r="E237" i="12"/>
  <c r="G235" i="12"/>
  <c r="F235" i="12"/>
  <c r="E235" i="12"/>
  <c r="D235" i="12"/>
  <c r="D236" i="12" s="1"/>
  <c r="G222" i="12"/>
  <c r="F222" i="12"/>
  <c r="E222" i="12"/>
  <c r="D222" i="12"/>
  <c r="G221" i="12"/>
  <c r="F221" i="12"/>
  <c r="E221" i="12"/>
  <c r="D221" i="12"/>
  <c r="G220" i="12"/>
  <c r="F220" i="12"/>
  <c r="E220" i="12"/>
  <c r="D220" i="12"/>
  <c r="G214" i="12"/>
  <c r="F214" i="12"/>
  <c r="E214" i="12"/>
  <c r="G212" i="12"/>
  <c r="F212" i="12"/>
  <c r="E212" i="12"/>
  <c r="D212" i="12"/>
  <c r="D213" i="12" s="1"/>
  <c r="G199" i="12"/>
  <c r="F199" i="12"/>
  <c r="E199" i="12"/>
  <c r="D199" i="12"/>
  <c r="G198" i="12"/>
  <c r="F198" i="12"/>
  <c r="E198" i="12"/>
  <c r="G197" i="12"/>
  <c r="F197" i="12"/>
  <c r="E197" i="12"/>
  <c r="D197" i="12"/>
  <c r="G189" i="12"/>
  <c r="F189" i="12"/>
  <c r="E189" i="12"/>
  <c r="G187" i="12"/>
  <c r="F187" i="12"/>
  <c r="E187" i="12"/>
  <c r="D187" i="12"/>
  <c r="D188" i="12" s="1"/>
  <c r="G109" i="12"/>
  <c r="F109" i="12"/>
  <c r="F110" i="12" s="1"/>
  <c r="F394" i="12" s="1"/>
  <c r="E109" i="12"/>
  <c r="D109" i="12"/>
  <c r="D394" i="12" s="1"/>
  <c r="G102" i="12"/>
  <c r="F102" i="12"/>
  <c r="E102" i="12"/>
  <c r="G100" i="12"/>
  <c r="F100" i="12"/>
  <c r="E100" i="12"/>
  <c r="D100" i="12"/>
  <c r="D101" i="12" s="1"/>
  <c r="G88" i="12"/>
  <c r="F88" i="12"/>
  <c r="E88" i="12"/>
  <c r="D88" i="12"/>
  <c r="G76" i="12"/>
  <c r="F76" i="12"/>
  <c r="E76" i="12"/>
  <c r="G74" i="12"/>
  <c r="F74" i="12"/>
  <c r="E74" i="12"/>
  <c r="D74" i="12"/>
  <c r="D75" i="12" s="1"/>
  <c r="G66" i="12"/>
  <c r="F66" i="12"/>
  <c r="E66" i="12"/>
  <c r="D66" i="12"/>
  <c r="G61" i="12"/>
  <c r="F61" i="12"/>
  <c r="E61" i="12"/>
  <c r="D61" i="12"/>
  <c r="G60" i="12"/>
  <c r="F60" i="12"/>
  <c r="E60" i="12"/>
  <c r="D60" i="12"/>
  <c r="G53" i="12"/>
  <c r="F53" i="12"/>
  <c r="E53" i="12"/>
  <c r="G51" i="12"/>
  <c r="F51" i="12"/>
  <c r="E51" i="12"/>
  <c r="D51" i="12"/>
  <c r="D52" i="12" s="1"/>
  <c r="G38" i="12"/>
  <c r="G382" i="12" s="1"/>
  <c r="F38" i="12"/>
  <c r="E38" i="12"/>
  <c r="E382" i="12" s="1"/>
  <c r="D38" i="12"/>
  <c r="G37" i="12"/>
  <c r="F37" i="12"/>
  <c r="E37" i="12"/>
  <c r="E380" i="12" s="1"/>
  <c r="D37" i="12"/>
  <c r="G36" i="12"/>
  <c r="G378" i="12" s="1"/>
  <c r="F36" i="12"/>
  <c r="E36" i="12"/>
  <c r="E378" i="12" s="1"/>
  <c r="D36" i="12"/>
  <c r="G30" i="12"/>
  <c r="F30" i="12"/>
  <c r="E30" i="12"/>
  <c r="G28" i="12"/>
  <c r="F28" i="12"/>
  <c r="F375" i="12" s="1"/>
  <c r="E28" i="12"/>
  <c r="D28" i="12"/>
  <c r="D375" i="12" s="1"/>
  <c r="E54" i="12" l="1"/>
  <c r="G54" i="12"/>
  <c r="F77" i="12"/>
  <c r="E103" i="12"/>
  <c r="G103" i="12"/>
  <c r="F190" i="12"/>
  <c r="D204" i="12"/>
  <c r="F215" i="12"/>
  <c r="E238" i="12"/>
  <c r="G238" i="12"/>
  <c r="D251" i="12"/>
  <c r="F261" i="12"/>
  <c r="E284" i="12"/>
  <c r="G284" i="12"/>
  <c r="E310" i="12"/>
  <c r="G310" i="12"/>
  <c r="F329" i="12"/>
  <c r="F348" i="12"/>
  <c r="F366" i="12"/>
  <c r="F385" i="12"/>
  <c r="F387" i="12"/>
  <c r="F389" i="12"/>
  <c r="F393" i="12"/>
  <c r="D67" i="12"/>
  <c r="D68" i="12" s="1"/>
  <c r="D205" i="12"/>
  <c r="E273" i="12"/>
  <c r="E274" i="12" s="1"/>
  <c r="G273" i="12"/>
  <c r="G274" i="12" s="1"/>
  <c r="G296" i="12"/>
  <c r="G297" i="12" s="1"/>
  <c r="F67" i="12"/>
  <c r="F68" i="12" s="1"/>
  <c r="F204" i="12"/>
  <c r="F205" i="12" s="1"/>
  <c r="F250" i="12"/>
  <c r="F251" i="12" s="1"/>
  <c r="E375" i="12"/>
  <c r="G375" i="12"/>
  <c r="F378" i="12"/>
  <c r="F379" i="12" s="1"/>
  <c r="D380" i="12"/>
  <c r="F380" i="12"/>
  <c r="G381" i="12" s="1"/>
  <c r="D382" i="12"/>
  <c r="E383" i="12" s="1"/>
  <c r="F382" i="12"/>
  <c r="F54" i="12"/>
  <c r="E67" i="12"/>
  <c r="E68" i="12" s="1"/>
  <c r="G67" i="12"/>
  <c r="G68" i="12" s="1"/>
  <c r="E77" i="12"/>
  <c r="G77" i="12"/>
  <c r="F103" i="12"/>
  <c r="E394" i="12"/>
  <c r="E395" i="12" s="1"/>
  <c r="G394" i="12"/>
  <c r="G395" i="12" s="1"/>
  <c r="E190" i="12"/>
  <c r="G190" i="12"/>
  <c r="E204" i="12"/>
  <c r="E205" i="12" s="1"/>
  <c r="G204" i="12"/>
  <c r="G205" i="12" s="1"/>
  <c r="E215" i="12"/>
  <c r="G215" i="12"/>
  <c r="F238" i="12"/>
  <c r="E250" i="12"/>
  <c r="E251" i="12" s="1"/>
  <c r="G250" i="12"/>
  <c r="G251" i="12" s="1"/>
  <c r="E261" i="12"/>
  <c r="G261" i="12"/>
  <c r="D273" i="12"/>
  <c r="D274" i="12" s="1"/>
  <c r="F273" i="12"/>
  <c r="F274" i="12" s="1"/>
  <c r="F284" i="12"/>
  <c r="D296" i="12"/>
  <c r="D297" i="12" s="1"/>
  <c r="F296" i="12"/>
  <c r="F297" i="12" s="1"/>
  <c r="F310" i="12"/>
  <c r="E329" i="12"/>
  <c r="G329" i="12"/>
  <c r="E348" i="12"/>
  <c r="G348" i="12"/>
  <c r="G366" i="12"/>
  <c r="E385" i="12"/>
  <c r="G385" i="12"/>
  <c r="E387" i="12"/>
  <c r="G387" i="12"/>
  <c r="E389" i="12"/>
  <c r="G389" i="12"/>
  <c r="E393" i="12"/>
  <c r="G393" i="12"/>
  <c r="E29" i="12"/>
  <c r="G29" i="12"/>
  <c r="E31" i="12"/>
  <c r="G31" i="12"/>
  <c r="F381" i="12"/>
  <c r="F383" i="12"/>
  <c r="D43" i="12"/>
  <c r="D44" i="12" s="1"/>
  <c r="F43" i="12"/>
  <c r="F52" i="12"/>
  <c r="E75" i="12"/>
  <c r="E78" i="12" s="1"/>
  <c r="G75" i="12"/>
  <c r="D390" i="12"/>
  <c r="F390" i="12"/>
  <c r="D89" i="12"/>
  <c r="D90" i="12" s="1"/>
  <c r="F89" i="12"/>
  <c r="F90" i="12" s="1"/>
  <c r="F101" i="12"/>
  <c r="E110" i="12"/>
  <c r="G110" i="12"/>
  <c r="F188" i="12"/>
  <c r="F213" i="12"/>
  <c r="E227" i="12"/>
  <c r="E228" i="12" s="1"/>
  <c r="G227" i="12"/>
  <c r="G228" i="12" s="1"/>
  <c r="E296" i="12"/>
  <c r="E297" i="12" s="1"/>
  <c r="D29" i="12"/>
  <c r="F29" i="12"/>
  <c r="F31" i="12"/>
  <c r="G379" i="12"/>
  <c r="E381" i="12"/>
  <c r="G383" i="12"/>
  <c r="E43" i="12"/>
  <c r="G43" i="12"/>
  <c r="E52" i="12"/>
  <c r="E55" i="12" s="1"/>
  <c r="G52" i="12"/>
  <c r="G55" i="12" s="1"/>
  <c r="F75" i="12"/>
  <c r="E390" i="12"/>
  <c r="E391" i="12" s="1"/>
  <c r="G390" i="12"/>
  <c r="E89" i="12"/>
  <c r="E90" i="12" s="1"/>
  <c r="G89" i="12"/>
  <c r="G90" i="12" s="1"/>
  <c r="E101" i="12"/>
  <c r="E104" i="12" s="1"/>
  <c r="G101" i="12"/>
  <c r="D110" i="12"/>
  <c r="E188" i="12"/>
  <c r="E191" i="12" s="1"/>
  <c r="G188" i="12"/>
  <c r="G191" i="12" s="1"/>
  <c r="E213" i="12"/>
  <c r="E216" i="12" s="1"/>
  <c r="G213" i="12"/>
  <c r="G216" i="12" s="1"/>
  <c r="D378" i="12"/>
  <c r="D227" i="12"/>
  <c r="D228" i="12" s="1"/>
  <c r="F227" i="12"/>
  <c r="F228" i="12" s="1"/>
  <c r="F236" i="12"/>
  <c r="E259" i="12"/>
  <c r="E262" i="12" s="1"/>
  <c r="G259" i="12"/>
  <c r="F282" i="12"/>
  <c r="E308" i="12"/>
  <c r="E311" i="12" s="1"/>
  <c r="G308" i="12"/>
  <c r="E346" i="12"/>
  <c r="E349" i="12" s="1"/>
  <c r="G346" i="12"/>
  <c r="E364" i="12"/>
  <c r="E367" i="12" s="1"/>
  <c r="G364" i="12"/>
  <c r="E236" i="12"/>
  <c r="E239" i="12" s="1"/>
  <c r="G236" i="12"/>
  <c r="F259" i="12"/>
  <c r="E282" i="12"/>
  <c r="E285" i="12" s="1"/>
  <c r="G282" i="12"/>
  <c r="F308" i="12"/>
  <c r="F346" i="12"/>
  <c r="F349" i="12" s="1"/>
  <c r="F364" i="12"/>
  <c r="E388" i="7"/>
  <c r="G104" i="12" l="1"/>
  <c r="F78" i="12"/>
  <c r="F367" i="12"/>
  <c r="F311" i="12"/>
  <c r="G239" i="12"/>
  <c r="G349" i="12"/>
  <c r="D376" i="12"/>
  <c r="D396" i="12" s="1"/>
  <c r="G391" i="12"/>
  <c r="F32" i="12"/>
  <c r="F395" i="12"/>
  <c r="F285" i="12"/>
  <c r="G285" i="12"/>
  <c r="F262" i="12"/>
  <c r="G262" i="12"/>
  <c r="F239" i="12"/>
  <c r="G376" i="12"/>
  <c r="G44" i="12"/>
  <c r="E379" i="12"/>
  <c r="F191" i="12"/>
  <c r="F104" i="12"/>
  <c r="F376" i="12"/>
  <c r="F44" i="12"/>
  <c r="G32" i="12"/>
  <c r="G367" i="12"/>
  <c r="G311" i="12"/>
  <c r="E376" i="12"/>
  <c r="E44" i="12"/>
  <c r="F216" i="12"/>
  <c r="F391" i="12"/>
  <c r="G78" i="12"/>
  <c r="F55" i="12"/>
  <c r="E32" i="12"/>
  <c r="F54" i="11"/>
  <c r="F55" i="11" s="1"/>
  <c r="G54" i="11"/>
  <c r="H54" i="11"/>
  <c r="F52" i="11"/>
  <c r="G52" i="11"/>
  <c r="H52" i="11"/>
  <c r="F50" i="11"/>
  <c r="G51" i="11" s="1"/>
  <c r="G50" i="11"/>
  <c r="H50" i="11"/>
  <c r="F48" i="11"/>
  <c r="G48" i="11"/>
  <c r="H48" i="11"/>
  <c r="F46" i="11"/>
  <c r="F47" i="11" s="1"/>
  <c r="G46" i="11"/>
  <c r="H46" i="11"/>
  <c r="F44" i="11"/>
  <c r="G44" i="11"/>
  <c r="H44" i="11"/>
  <c r="F42" i="11"/>
  <c r="G43" i="11" s="1"/>
  <c r="G42" i="11"/>
  <c r="H42" i="11"/>
  <c r="E54" i="11"/>
  <c r="E52" i="11"/>
  <c r="E50" i="11"/>
  <c r="E48" i="11"/>
  <c r="E46" i="11"/>
  <c r="E44" i="11"/>
  <c r="E42" i="11"/>
  <c r="F39" i="11"/>
  <c r="G39" i="11"/>
  <c r="H39" i="11"/>
  <c r="E39" i="11"/>
  <c r="H59" i="11"/>
  <c r="G59" i="11"/>
  <c r="F59" i="11"/>
  <c r="H57" i="11"/>
  <c r="G57" i="11"/>
  <c r="F57" i="11"/>
  <c r="G55" i="11"/>
  <c r="F51" i="11"/>
  <c r="G47" i="11"/>
  <c r="E396" i="12" l="1"/>
  <c r="E377" i="12"/>
  <c r="G396" i="12"/>
  <c r="G377" i="12"/>
  <c r="F396" i="12"/>
  <c r="F377" i="12"/>
  <c r="H40" i="11"/>
  <c r="F40" i="11"/>
  <c r="E40" i="11"/>
  <c r="F45" i="11"/>
  <c r="H45" i="11"/>
  <c r="F49" i="11"/>
  <c r="H49" i="11"/>
  <c r="F53" i="11"/>
  <c r="H53" i="11"/>
  <c r="F43" i="11"/>
  <c r="H43" i="11"/>
  <c r="G45" i="11"/>
  <c r="H47" i="11"/>
  <c r="G49" i="11"/>
  <c r="H51" i="11"/>
  <c r="G53" i="11"/>
  <c r="H55" i="11"/>
  <c r="G40" i="11"/>
  <c r="G41" i="11" s="1"/>
  <c r="F41" i="11" l="1"/>
  <c r="H41" i="11"/>
  <c r="G174" i="10" l="1"/>
  <c r="H174" i="10"/>
  <c r="I174" i="10"/>
  <c r="G189" i="10"/>
  <c r="H189" i="10"/>
  <c r="I189" i="10"/>
  <c r="G187" i="10"/>
  <c r="H187" i="10"/>
  <c r="I187" i="10"/>
  <c r="G185" i="10"/>
  <c r="H185" i="10"/>
  <c r="I185" i="10"/>
  <c r="G183" i="10"/>
  <c r="H183" i="10"/>
  <c r="I183" i="10"/>
  <c r="G181" i="10"/>
  <c r="H181" i="10"/>
  <c r="I181" i="10"/>
  <c r="G179" i="10"/>
  <c r="H179" i="10"/>
  <c r="I179" i="10"/>
  <c r="G177" i="10"/>
  <c r="H177" i="10"/>
  <c r="I177" i="10"/>
  <c r="F189" i="10"/>
  <c r="F187" i="10"/>
  <c r="F185" i="10"/>
  <c r="F183" i="10"/>
  <c r="F181" i="10"/>
  <c r="F179" i="10"/>
  <c r="F177" i="10"/>
  <c r="F175" i="10" s="1"/>
  <c r="F174" i="10"/>
  <c r="H175" i="10"/>
  <c r="G414" i="8"/>
  <c r="H414" i="8"/>
  <c r="I414" i="8"/>
  <c r="G433" i="8"/>
  <c r="H433" i="8"/>
  <c r="I433" i="8"/>
  <c r="G431" i="8"/>
  <c r="H431" i="8"/>
  <c r="I431" i="8"/>
  <c r="G429" i="8"/>
  <c r="H429" i="8"/>
  <c r="I429" i="8"/>
  <c r="G427" i="8"/>
  <c r="H427" i="8"/>
  <c r="I427" i="8"/>
  <c r="G425" i="8"/>
  <c r="H425" i="8"/>
  <c r="I425" i="8"/>
  <c r="G423" i="8"/>
  <c r="H423" i="8"/>
  <c r="I423" i="8"/>
  <c r="G421" i="8"/>
  <c r="H421" i="8"/>
  <c r="I421" i="8"/>
  <c r="G419" i="8"/>
  <c r="H419" i="8"/>
  <c r="I419" i="8"/>
  <c r="G417" i="8"/>
  <c r="H417" i="8"/>
  <c r="I417" i="8"/>
  <c r="F433" i="8"/>
  <c r="F431" i="8"/>
  <c r="F429" i="8"/>
  <c r="F427" i="8"/>
  <c r="F425" i="8"/>
  <c r="F423" i="8"/>
  <c r="F421" i="8"/>
  <c r="F419" i="8"/>
  <c r="F417" i="8"/>
  <c r="F453" i="7"/>
  <c r="G453" i="7"/>
  <c r="H453" i="7"/>
  <c r="F451" i="7"/>
  <c r="G451" i="7"/>
  <c r="H451" i="7"/>
  <c r="F445" i="7"/>
  <c r="G445" i="7"/>
  <c r="H445" i="7"/>
  <c r="F443" i="7"/>
  <c r="G443" i="7"/>
  <c r="H443" i="7"/>
  <c r="F441" i="7"/>
  <c r="G441" i="7"/>
  <c r="H441" i="7"/>
  <c r="F439" i="7"/>
  <c r="G439" i="7"/>
  <c r="H439" i="7"/>
  <c r="F437" i="7"/>
  <c r="G437" i="7"/>
  <c r="H437" i="7"/>
  <c r="E453" i="7"/>
  <c r="E451" i="7"/>
  <c r="E445" i="7"/>
  <c r="E443" i="7"/>
  <c r="E441" i="7"/>
  <c r="E439" i="7"/>
  <c r="E437" i="7"/>
  <c r="F434" i="7"/>
  <c r="G434" i="7"/>
  <c r="H434" i="7"/>
  <c r="E434" i="7"/>
  <c r="F18" i="7"/>
  <c r="G18" i="7" s="1"/>
  <c r="H18" i="7" s="1"/>
  <c r="F195" i="7"/>
  <c r="I175" i="10" l="1"/>
  <c r="I176" i="10" s="1"/>
  <c r="G175" i="10"/>
  <c r="H176" i="10" s="1"/>
  <c r="H178" i="10"/>
  <c r="H180" i="10"/>
  <c r="H182" i="10"/>
  <c r="G184" i="10"/>
  <c r="H184" i="10"/>
  <c r="G188" i="10"/>
  <c r="H188" i="10"/>
  <c r="H192" i="10"/>
  <c r="G178" i="10"/>
  <c r="I178" i="10"/>
  <c r="G180" i="10"/>
  <c r="I180" i="10"/>
  <c r="G182" i="10"/>
  <c r="I182" i="10"/>
  <c r="G186" i="10"/>
  <c r="I186" i="10"/>
  <c r="G190" i="10"/>
  <c r="I190" i="10"/>
  <c r="G192" i="10"/>
  <c r="I192" i="10"/>
  <c r="G194" i="10"/>
  <c r="I194" i="10"/>
  <c r="I184" i="10"/>
  <c r="H186" i="10"/>
  <c r="I188" i="10"/>
  <c r="H190" i="10"/>
  <c r="H194" i="10"/>
  <c r="G176" i="10" l="1"/>
  <c r="G159" i="13"/>
  <c r="F159" i="13"/>
  <c r="E159" i="13"/>
  <c r="D159" i="13"/>
  <c r="G140" i="13"/>
  <c r="F140" i="13"/>
  <c r="E140" i="13"/>
  <c r="D140" i="13"/>
  <c r="G133" i="13"/>
  <c r="G134" i="13" s="1"/>
  <c r="F133" i="13"/>
  <c r="F134" i="13" s="1"/>
  <c r="E133" i="13"/>
  <c r="E134" i="13" s="1"/>
  <c r="D133" i="13"/>
  <c r="D134" i="13" s="1"/>
  <c r="G125" i="13"/>
  <c r="F125" i="13"/>
  <c r="E125" i="13"/>
  <c r="G124" i="13"/>
  <c r="F124" i="13"/>
  <c r="E124" i="13"/>
  <c r="G123" i="13"/>
  <c r="F123" i="13"/>
  <c r="E123" i="13"/>
  <c r="D123" i="13"/>
  <c r="G113" i="13"/>
  <c r="G114" i="13" s="1"/>
  <c r="F113" i="13"/>
  <c r="F114" i="13" s="1"/>
  <c r="E113" i="13"/>
  <c r="E114" i="13" s="1"/>
  <c r="D113" i="13"/>
  <c r="D114" i="13" s="1"/>
  <c r="G107" i="13"/>
  <c r="F107" i="13"/>
  <c r="E107" i="13"/>
  <c r="G106" i="13"/>
  <c r="F106" i="13"/>
  <c r="E106" i="13"/>
  <c r="G105" i="13"/>
  <c r="F105" i="13"/>
  <c r="E105" i="13"/>
  <c r="D105" i="13"/>
  <c r="G91" i="13"/>
  <c r="G92" i="13" s="1"/>
  <c r="G93" i="13" s="1"/>
  <c r="F91" i="13"/>
  <c r="F92" i="13" s="1"/>
  <c r="F93" i="13" s="1"/>
  <c r="E91" i="13"/>
  <c r="E92" i="13" s="1"/>
  <c r="E93" i="13" s="1"/>
  <c r="D91" i="13"/>
  <c r="D92" i="13" s="1"/>
  <c r="D93" i="13" s="1"/>
  <c r="G79" i="13"/>
  <c r="F79" i="13"/>
  <c r="E79" i="13"/>
  <c r="G78" i="13"/>
  <c r="F78" i="13"/>
  <c r="E78" i="13"/>
  <c r="G77" i="13"/>
  <c r="F77" i="13"/>
  <c r="E77" i="13"/>
  <c r="D77" i="13"/>
  <c r="G67" i="13"/>
  <c r="F67" i="13"/>
  <c r="E67" i="13"/>
  <c r="D67" i="13"/>
  <c r="G56" i="13"/>
  <c r="F56" i="13"/>
  <c r="E56" i="13"/>
  <c r="G55" i="13"/>
  <c r="F55" i="13"/>
  <c r="E55" i="13"/>
  <c r="G54" i="13"/>
  <c r="F54" i="13"/>
  <c r="E54" i="13"/>
  <c r="D54" i="13"/>
  <c r="G44" i="13"/>
  <c r="G45" i="13" s="1"/>
  <c r="G46" i="13" s="1"/>
  <c r="F44" i="13"/>
  <c r="F45" i="13" s="1"/>
  <c r="F46" i="13" s="1"/>
  <c r="E44" i="13"/>
  <c r="E45" i="13" s="1"/>
  <c r="E46" i="13" s="1"/>
  <c r="D44" i="13"/>
  <c r="D45" i="13" s="1"/>
  <c r="D46" i="13" s="1"/>
  <c r="G33" i="13"/>
  <c r="F33" i="13"/>
  <c r="E33" i="13"/>
  <c r="G32" i="13"/>
  <c r="F32" i="13"/>
  <c r="E32" i="13"/>
  <c r="G31" i="13"/>
  <c r="F31" i="13"/>
  <c r="E31" i="13"/>
  <c r="D31" i="13"/>
  <c r="F108" i="13" l="1"/>
  <c r="F160" i="13"/>
  <c r="F57" i="13"/>
  <c r="F80" i="13"/>
  <c r="F126" i="13"/>
  <c r="F34" i="13"/>
  <c r="D155" i="13"/>
  <c r="D141" i="13" s="1"/>
  <c r="D161" i="13" s="1"/>
  <c r="E34" i="13"/>
  <c r="G34" i="13"/>
  <c r="E57" i="13"/>
  <c r="G57" i="13"/>
  <c r="E155" i="13"/>
  <c r="E141" i="13" s="1"/>
  <c r="G155" i="13"/>
  <c r="G141" i="13" s="1"/>
  <c r="E80" i="13"/>
  <c r="G80" i="13"/>
  <c r="E108" i="13"/>
  <c r="G108" i="13"/>
  <c r="E126" i="13"/>
  <c r="G126" i="13"/>
  <c r="E160" i="13"/>
  <c r="G160" i="13"/>
  <c r="F155" i="13"/>
  <c r="D68" i="13"/>
  <c r="D69" i="13" s="1"/>
  <c r="F68" i="13"/>
  <c r="F69" i="13" s="1"/>
  <c r="E68" i="13"/>
  <c r="E69" i="13" s="1"/>
  <c r="G68" i="13"/>
  <c r="G69" i="13" s="1"/>
  <c r="F156" i="13" l="1"/>
  <c r="E156" i="13"/>
  <c r="F141" i="13"/>
  <c r="F161" i="13" s="1"/>
  <c r="G156" i="13"/>
  <c r="G161" i="13"/>
  <c r="E161" i="13"/>
  <c r="E142" i="13"/>
  <c r="H37" i="11"/>
  <c r="G37" i="11"/>
  <c r="F37" i="11"/>
  <c r="E37" i="11"/>
  <c r="F142" i="13" l="1"/>
  <c r="G142" i="13"/>
  <c r="I98" i="10"/>
  <c r="H98" i="10"/>
  <c r="G98" i="10"/>
  <c r="F98" i="10"/>
  <c r="I49" i="10"/>
  <c r="I50" i="10" s="1"/>
  <c r="H49" i="10"/>
  <c r="H50" i="10" s="1"/>
  <c r="G49" i="10"/>
  <c r="G50" i="10" s="1"/>
  <c r="F49" i="10"/>
  <c r="F50" i="10" s="1"/>
  <c r="I410" i="8" l="1"/>
  <c r="I400" i="8" s="1"/>
  <c r="H410" i="8"/>
  <c r="H400" i="8" s="1"/>
  <c r="G410" i="8"/>
  <c r="G400" i="8" s="1"/>
  <c r="F410" i="8"/>
  <c r="F400" i="8" s="1"/>
  <c r="I402" i="8"/>
  <c r="H402" i="8"/>
  <c r="G402" i="8"/>
  <c r="I389" i="8"/>
  <c r="I379" i="8" s="1"/>
  <c r="H389" i="8"/>
  <c r="G389" i="8"/>
  <c r="G379" i="8" s="1"/>
  <c r="F389" i="8"/>
  <c r="F379" i="8" s="1"/>
  <c r="F380" i="8" s="1"/>
  <c r="I381" i="8"/>
  <c r="H381" i="8"/>
  <c r="G381" i="8"/>
  <c r="H379" i="8"/>
  <c r="I368" i="8"/>
  <c r="I358" i="8" s="1"/>
  <c r="H368" i="8"/>
  <c r="H358" i="8" s="1"/>
  <c r="G368" i="8"/>
  <c r="G358" i="8" s="1"/>
  <c r="F368" i="8"/>
  <c r="F358" i="8" s="1"/>
  <c r="F359" i="8" s="1"/>
  <c r="I360" i="8"/>
  <c r="H360" i="8"/>
  <c r="G360" i="8"/>
  <c r="I347" i="8"/>
  <c r="I337" i="8" s="1"/>
  <c r="H347" i="8"/>
  <c r="G347" i="8"/>
  <c r="G337" i="8" s="1"/>
  <c r="F347" i="8"/>
  <c r="F337" i="8" s="1"/>
  <c r="F338" i="8" s="1"/>
  <c r="I339" i="8"/>
  <c r="H339" i="8"/>
  <c r="G339" i="8"/>
  <c r="H337" i="8"/>
  <c r="H338" i="8" s="1"/>
  <c r="I326" i="8"/>
  <c r="I316" i="8" s="1"/>
  <c r="H326" i="8"/>
  <c r="H316" i="8" s="1"/>
  <c r="G326" i="8"/>
  <c r="G316" i="8" s="1"/>
  <c r="F326" i="8"/>
  <c r="F316" i="8" s="1"/>
  <c r="F317" i="8" s="1"/>
  <c r="I318" i="8"/>
  <c r="H318" i="8"/>
  <c r="G318" i="8"/>
  <c r="I305" i="8"/>
  <c r="H305" i="8"/>
  <c r="H290" i="8" s="1"/>
  <c r="G305" i="8"/>
  <c r="G290" i="8" s="1"/>
  <c r="G293" i="8" s="1"/>
  <c r="F305" i="8"/>
  <c r="F306" i="8" s="1"/>
  <c r="I292" i="8"/>
  <c r="H292" i="8"/>
  <c r="G292" i="8"/>
  <c r="F291" i="8"/>
  <c r="I290" i="8"/>
  <c r="I291" i="8" s="1"/>
  <c r="F414" i="8" l="1"/>
  <c r="F401" i="8"/>
  <c r="G361" i="8"/>
  <c r="G319" i="8"/>
  <c r="G403" i="8"/>
  <c r="G420" i="8" s="1"/>
  <c r="H382" i="8"/>
  <c r="H418" i="8"/>
  <c r="I319" i="8"/>
  <c r="I361" i="8"/>
  <c r="I403" i="8"/>
  <c r="G418" i="8"/>
  <c r="I418" i="8"/>
  <c r="G306" i="8"/>
  <c r="I306" i="8"/>
  <c r="H293" i="8"/>
  <c r="H291" i="8"/>
  <c r="I294" i="8" s="1"/>
  <c r="H319" i="8"/>
  <c r="H317" i="8"/>
  <c r="G340" i="8"/>
  <c r="G338" i="8"/>
  <c r="G341" i="8" s="1"/>
  <c r="I340" i="8"/>
  <c r="I338" i="8"/>
  <c r="I341" i="8" s="1"/>
  <c r="H361" i="8"/>
  <c r="H359" i="8"/>
  <c r="G382" i="8"/>
  <c r="G428" i="8" s="1"/>
  <c r="G380" i="8"/>
  <c r="I382" i="8"/>
  <c r="I380" i="8"/>
  <c r="H403" i="8"/>
  <c r="H401" i="8"/>
  <c r="I293" i="8"/>
  <c r="H306" i="8"/>
  <c r="G317" i="8"/>
  <c r="G320" i="8" s="1"/>
  <c r="H340" i="8"/>
  <c r="G359" i="8"/>
  <c r="G362" i="8" s="1"/>
  <c r="G401" i="8"/>
  <c r="G404" i="8" s="1"/>
  <c r="I401" i="8"/>
  <c r="G291" i="8"/>
  <c r="G294" i="8" s="1"/>
  <c r="I317" i="8"/>
  <c r="I320" i="8" s="1"/>
  <c r="I359" i="8"/>
  <c r="H380" i="8"/>
  <c r="H420" i="8" l="1"/>
  <c r="H428" i="8"/>
  <c r="I428" i="8"/>
  <c r="G422" i="8"/>
  <c r="H383" i="8"/>
  <c r="G383" i="8"/>
  <c r="G430" i="8" s="1"/>
  <c r="I362" i="8"/>
  <c r="I404" i="8"/>
  <c r="H341" i="8"/>
  <c r="I420" i="8"/>
  <c r="H404" i="8"/>
  <c r="H422" i="8" s="1"/>
  <c r="I383" i="8"/>
  <c r="H362" i="8"/>
  <c r="H320" i="8"/>
  <c r="H294" i="8"/>
  <c r="I278" i="8"/>
  <c r="H278" i="8"/>
  <c r="G278" i="8"/>
  <c r="F278" i="8"/>
  <c r="H277" i="8"/>
  <c r="I271" i="8"/>
  <c r="H271" i="8"/>
  <c r="G271" i="8"/>
  <c r="I270" i="8"/>
  <c r="H270" i="8"/>
  <c r="G270" i="8"/>
  <c r="I269" i="8"/>
  <c r="H269" i="8"/>
  <c r="G269" i="8"/>
  <c r="F269" i="8"/>
  <c r="I257" i="8"/>
  <c r="G257" i="8"/>
  <c r="F257" i="8"/>
  <c r="G250" i="8"/>
  <c r="I249" i="8"/>
  <c r="H249" i="8"/>
  <c r="G249" i="8"/>
  <c r="I248" i="8"/>
  <c r="G248" i="8"/>
  <c r="F248" i="8"/>
  <c r="H247" i="8"/>
  <c r="H250" i="8" s="1"/>
  <c r="I236" i="8"/>
  <c r="H236" i="8"/>
  <c r="G236" i="8"/>
  <c r="F236" i="8"/>
  <c r="I224" i="8"/>
  <c r="H224" i="8"/>
  <c r="G224" i="8"/>
  <c r="I223" i="8"/>
  <c r="H223" i="8"/>
  <c r="G223" i="8"/>
  <c r="I222" i="8"/>
  <c r="H222" i="8"/>
  <c r="G222" i="8"/>
  <c r="F222" i="8"/>
  <c r="I213" i="8"/>
  <c r="H213" i="8"/>
  <c r="G213" i="8"/>
  <c r="F213" i="8"/>
  <c r="I201" i="8"/>
  <c r="H201" i="8"/>
  <c r="G201" i="8"/>
  <c r="I200" i="8"/>
  <c r="H200" i="8"/>
  <c r="G200" i="8"/>
  <c r="I199" i="8"/>
  <c r="H199" i="8"/>
  <c r="G199" i="8"/>
  <c r="F199" i="8"/>
  <c r="H424" i="8" l="1"/>
  <c r="I422" i="8"/>
  <c r="G214" i="8"/>
  <c r="I214" i="8"/>
  <c r="G237" i="8"/>
  <c r="I237" i="8"/>
  <c r="F214" i="8"/>
  <c r="H214" i="8"/>
  <c r="H426" i="8"/>
  <c r="F237" i="8"/>
  <c r="G434" i="8" s="1"/>
  <c r="H237" i="8"/>
  <c r="G251" i="8"/>
  <c r="H272" i="8"/>
  <c r="I272" i="8"/>
  <c r="I430" i="8"/>
  <c r="H430" i="8"/>
  <c r="I424" i="8"/>
  <c r="G202" i="8"/>
  <c r="H202" i="8"/>
  <c r="G225" i="8"/>
  <c r="I225" i="8"/>
  <c r="I202" i="8"/>
  <c r="H225" i="8"/>
  <c r="I250" i="8"/>
  <c r="H256" i="8"/>
  <c r="H257" i="8" s="1"/>
  <c r="H248" i="8"/>
  <c r="H251" i="8" s="1"/>
  <c r="G272" i="8"/>
  <c r="G187" i="8"/>
  <c r="F187" i="8"/>
  <c r="I180" i="8"/>
  <c r="H180" i="8"/>
  <c r="G180" i="8"/>
  <c r="I179" i="8"/>
  <c r="H179" i="8"/>
  <c r="G179" i="8"/>
  <c r="I178" i="8"/>
  <c r="H178" i="8"/>
  <c r="G178" i="8"/>
  <c r="F178" i="8"/>
  <c r="I166" i="8"/>
  <c r="I167" i="8" s="1"/>
  <c r="H166" i="8"/>
  <c r="H167" i="8" s="1"/>
  <c r="G166" i="8"/>
  <c r="G167" i="8" s="1"/>
  <c r="F166" i="8"/>
  <c r="F167" i="8" s="1"/>
  <c r="I154" i="8"/>
  <c r="H154" i="8"/>
  <c r="G154" i="8"/>
  <c r="I153" i="8"/>
  <c r="H153" i="8"/>
  <c r="G153" i="8"/>
  <c r="I152" i="8"/>
  <c r="H152" i="8"/>
  <c r="G152" i="8"/>
  <c r="F152" i="8"/>
  <c r="H143" i="8"/>
  <c r="G143" i="8"/>
  <c r="F143" i="8"/>
  <c r="I136" i="8"/>
  <c r="I143" i="8" s="1"/>
  <c r="I131" i="8"/>
  <c r="H131" i="8"/>
  <c r="G131" i="8"/>
  <c r="I130" i="8"/>
  <c r="H130" i="8"/>
  <c r="G130" i="8"/>
  <c r="I129" i="8"/>
  <c r="H129" i="8"/>
  <c r="G129" i="8"/>
  <c r="F129" i="8"/>
  <c r="G415" i="8" l="1"/>
  <c r="H432" i="8"/>
  <c r="G432" i="8"/>
  <c r="I415" i="8"/>
  <c r="H415" i="8"/>
  <c r="F415" i="8"/>
  <c r="I432" i="8"/>
  <c r="I426" i="8"/>
  <c r="I434" i="8"/>
  <c r="H434" i="8"/>
  <c r="G426" i="8"/>
  <c r="G424" i="8"/>
  <c r="G132" i="8"/>
  <c r="H132" i="8"/>
  <c r="G155" i="8"/>
  <c r="H155" i="8"/>
  <c r="I251" i="8"/>
  <c r="H181" i="8"/>
  <c r="I181" i="8"/>
  <c r="I132" i="8"/>
  <c r="I155" i="8"/>
  <c r="G181" i="8"/>
  <c r="I120" i="8"/>
  <c r="H120" i="8"/>
  <c r="G120" i="8"/>
  <c r="F120" i="8"/>
  <c r="I113" i="8"/>
  <c r="H113" i="8"/>
  <c r="G113" i="8"/>
  <c r="I112" i="8"/>
  <c r="H112" i="8"/>
  <c r="G112" i="8"/>
  <c r="I111" i="8"/>
  <c r="H111" i="8"/>
  <c r="G111" i="8"/>
  <c r="F111" i="8"/>
  <c r="I102" i="8"/>
  <c r="H102" i="8"/>
  <c r="G102" i="8"/>
  <c r="F102" i="8"/>
  <c r="I95" i="8"/>
  <c r="H95" i="8"/>
  <c r="G95" i="8"/>
  <c r="I94" i="8"/>
  <c r="H94" i="8"/>
  <c r="G94" i="8"/>
  <c r="I93" i="8"/>
  <c r="H93" i="8"/>
  <c r="G93" i="8"/>
  <c r="F93" i="8"/>
  <c r="I82" i="8"/>
  <c r="H82" i="8"/>
  <c r="G82" i="8"/>
  <c r="F82" i="8"/>
  <c r="I75" i="8"/>
  <c r="H75" i="8"/>
  <c r="G75" i="8"/>
  <c r="I74" i="8"/>
  <c r="H74" i="8"/>
  <c r="G74" i="8"/>
  <c r="I73" i="8"/>
  <c r="H73" i="8"/>
  <c r="G73" i="8"/>
  <c r="F73" i="8"/>
  <c r="I61" i="8"/>
  <c r="H61" i="8"/>
  <c r="G61" i="8"/>
  <c r="F61" i="8"/>
  <c r="I54" i="8"/>
  <c r="H54" i="8"/>
  <c r="G54" i="8"/>
  <c r="I53" i="8"/>
  <c r="H53" i="8"/>
  <c r="G53" i="8"/>
  <c r="I52" i="8"/>
  <c r="H52" i="8"/>
  <c r="G52" i="8"/>
  <c r="F52" i="8"/>
  <c r="I40" i="8"/>
  <c r="I41" i="8" s="1"/>
  <c r="H40" i="8"/>
  <c r="H41" i="8" s="1"/>
  <c r="G40" i="8"/>
  <c r="G41" i="8" s="1"/>
  <c r="F40" i="8"/>
  <c r="F41" i="8" s="1"/>
  <c r="I28" i="8"/>
  <c r="H28" i="8"/>
  <c r="G28" i="8"/>
  <c r="I27" i="8"/>
  <c r="H27" i="8"/>
  <c r="G27" i="8"/>
  <c r="I26" i="8"/>
  <c r="H26" i="8"/>
  <c r="G26" i="8"/>
  <c r="F26" i="8"/>
  <c r="G416" i="8" l="1"/>
  <c r="H416" i="8"/>
  <c r="I416" i="8"/>
  <c r="G29" i="8"/>
  <c r="H29" i="8"/>
  <c r="G55" i="8"/>
  <c r="H55" i="8"/>
  <c r="G96" i="8"/>
  <c r="H96" i="8"/>
  <c r="G76" i="8"/>
  <c r="I76" i="8"/>
  <c r="G114" i="8"/>
  <c r="I114" i="8"/>
  <c r="I29" i="8"/>
  <c r="I55" i="8"/>
  <c r="H76" i="8"/>
  <c r="I96" i="8"/>
  <c r="H114" i="8"/>
  <c r="G452" i="7" l="1"/>
  <c r="H452" i="7"/>
  <c r="G440" i="7"/>
  <c r="H440" i="7"/>
  <c r="F444" i="7"/>
  <c r="H444" i="7"/>
  <c r="F442" i="7"/>
  <c r="H442" i="7"/>
  <c r="H446" i="7"/>
  <c r="F450" i="7"/>
  <c r="H450" i="7"/>
  <c r="G444" i="7"/>
  <c r="F440" i="7"/>
  <c r="G442" i="7"/>
  <c r="G446" i="7"/>
  <c r="G450" i="7"/>
  <c r="F452" i="7"/>
  <c r="H432" i="7"/>
  <c r="G432" i="7"/>
  <c r="F432" i="7"/>
  <c r="E430" i="7"/>
  <c r="E432" i="7" s="1"/>
  <c r="H425" i="7"/>
  <c r="G425" i="7"/>
  <c r="F425" i="7"/>
  <c r="H424" i="7"/>
  <c r="G424" i="7"/>
  <c r="F424" i="7"/>
  <c r="H423" i="7"/>
  <c r="G423" i="7"/>
  <c r="F423" i="7"/>
  <c r="E423" i="7"/>
  <c r="H409" i="7"/>
  <c r="G409" i="7"/>
  <c r="F409" i="7"/>
  <c r="E408" i="7"/>
  <c r="E409" i="7" s="1"/>
  <c r="H402" i="7"/>
  <c r="G402" i="7"/>
  <c r="F402" i="7"/>
  <c r="H401" i="7"/>
  <c r="G401" i="7"/>
  <c r="F401" i="7"/>
  <c r="H400" i="7"/>
  <c r="G400" i="7"/>
  <c r="F400" i="7"/>
  <c r="E400" i="7"/>
  <c r="E387" i="7"/>
  <c r="H386" i="7"/>
  <c r="G386" i="7"/>
  <c r="F386" i="7"/>
  <c r="E386" i="7"/>
  <c r="H385" i="7"/>
  <c r="G385" i="7"/>
  <c r="F385" i="7"/>
  <c r="E385" i="7"/>
  <c r="H384" i="7"/>
  <c r="G384" i="7"/>
  <c r="F384" i="7"/>
  <c r="E384" i="7"/>
  <c r="E383" i="7"/>
  <c r="E382" i="7"/>
  <c r="E381" i="7"/>
  <c r="H376" i="7"/>
  <c r="G376" i="7"/>
  <c r="H375" i="7"/>
  <c r="G375" i="7"/>
  <c r="F375" i="7"/>
  <c r="H374" i="7"/>
  <c r="G374" i="7"/>
  <c r="F374" i="7"/>
  <c r="E373" i="7"/>
  <c r="E364" i="7"/>
  <c r="E363" i="7"/>
  <c r="F362" i="7"/>
  <c r="G362" i="7" s="1"/>
  <c r="H362" i="7" s="1"/>
  <c r="E362" i="7"/>
  <c r="H361" i="7"/>
  <c r="G361" i="7"/>
  <c r="F361" i="7"/>
  <c r="F350" i="7" s="1"/>
  <c r="E361" i="7"/>
  <c r="G360" i="7"/>
  <c r="H360" i="7" s="1"/>
  <c r="E360" i="7"/>
  <c r="E359" i="7"/>
  <c r="E358" i="7"/>
  <c r="H352" i="7"/>
  <c r="G352" i="7"/>
  <c r="F352" i="7"/>
  <c r="G388" i="7" l="1"/>
  <c r="G389" i="7" s="1"/>
  <c r="E350" i="7"/>
  <c r="E351" i="7" s="1"/>
  <c r="G350" i="7"/>
  <c r="G353" i="7" s="1"/>
  <c r="H377" i="7"/>
  <c r="E389" i="7"/>
  <c r="F388" i="7"/>
  <c r="F389" i="7" s="1"/>
  <c r="H388" i="7"/>
  <c r="H389" i="7" s="1"/>
  <c r="F448" i="7"/>
  <c r="F446" i="7"/>
  <c r="F365" i="7"/>
  <c r="F366" i="7" s="1"/>
  <c r="E365" i="7"/>
  <c r="E374" i="7"/>
  <c r="F377" i="7" s="1"/>
  <c r="F403" i="7"/>
  <c r="G403" i="7"/>
  <c r="F426" i="7"/>
  <c r="H426" i="7"/>
  <c r="G448" i="7"/>
  <c r="H448" i="7"/>
  <c r="H365" i="7"/>
  <c r="H350" i="7"/>
  <c r="G365" i="7"/>
  <c r="F376" i="7"/>
  <c r="G377" i="7"/>
  <c r="H403" i="7"/>
  <c r="G426" i="7"/>
  <c r="F351" i="7"/>
  <c r="F354" i="7" s="1"/>
  <c r="H334" i="7"/>
  <c r="G334" i="7"/>
  <c r="F334" i="7"/>
  <c r="E334" i="7"/>
  <c r="H328" i="7"/>
  <c r="G328" i="7"/>
  <c r="F328" i="7"/>
  <c r="H327" i="7"/>
  <c r="G327" i="7"/>
  <c r="F327" i="7"/>
  <c r="H326" i="7"/>
  <c r="G326" i="7"/>
  <c r="F326" i="7"/>
  <c r="E326" i="7"/>
  <c r="H314" i="7"/>
  <c r="G314" i="7"/>
  <c r="F314" i="7"/>
  <c r="E314" i="7"/>
  <c r="H308" i="7"/>
  <c r="G308" i="7"/>
  <c r="F308" i="7"/>
  <c r="H307" i="7"/>
  <c r="G307" i="7"/>
  <c r="F307" i="7"/>
  <c r="H306" i="7"/>
  <c r="G306" i="7"/>
  <c r="F306" i="7"/>
  <c r="E306" i="7"/>
  <c r="H292" i="7"/>
  <c r="G292" i="7"/>
  <c r="F292" i="7"/>
  <c r="E292" i="7"/>
  <c r="H285" i="7"/>
  <c r="G285" i="7"/>
  <c r="F285" i="7"/>
  <c r="H284" i="7"/>
  <c r="G284" i="7"/>
  <c r="F284" i="7"/>
  <c r="H283" i="7"/>
  <c r="G283" i="7"/>
  <c r="F283" i="7"/>
  <c r="E283" i="7"/>
  <c r="H271" i="7"/>
  <c r="G271" i="7"/>
  <c r="F271" i="7"/>
  <c r="E271" i="7"/>
  <c r="H265" i="7"/>
  <c r="G265" i="7"/>
  <c r="F265" i="7"/>
  <c r="H264" i="7"/>
  <c r="G264" i="7"/>
  <c r="F264" i="7"/>
  <c r="H263" i="7"/>
  <c r="G263" i="7"/>
  <c r="F263" i="7"/>
  <c r="E263" i="7"/>
  <c r="H248" i="7"/>
  <c r="H252" i="7" s="1"/>
  <c r="G248" i="7"/>
  <c r="G252" i="7" s="1"/>
  <c r="F248" i="7"/>
  <c r="F252" i="7" s="1"/>
  <c r="E248" i="7"/>
  <c r="E252" i="7" s="1"/>
  <c r="H220" i="7"/>
  <c r="G220" i="7"/>
  <c r="F220" i="7"/>
  <c r="H219" i="7"/>
  <c r="G219" i="7"/>
  <c r="F219" i="7"/>
  <c r="H218" i="7"/>
  <c r="G218" i="7"/>
  <c r="F218" i="7"/>
  <c r="E218" i="7"/>
  <c r="H195" i="7"/>
  <c r="H199" i="7" s="1"/>
  <c r="G195" i="7"/>
  <c r="G199" i="7" s="1"/>
  <c r="F199" i="7"/>
  <c r="E195" i="7"/>
  <c r="E199" i="7" s="1"/>
  <c r="H169" i="7"/>
  <c r="G169" i="7"/>
  <c r="F169" i="7"/>
  <c r="H168" i="7"/>
  <c r="G168" i="7"/>
  <c r="F168" i="7"/>
  <c r="H167" i="7"/>
  <c r="G167" i="7"/>
  <c r="F167" i="7"/>
  <c r="E167" i="7"/>
  <c r="E366" i="7" l="1"/>
  <c r="F438" i="7" s="1"/>
  <c r="F221" i="7"/>
  <c r="G221" i="7"/>
  <c r="F286" i="7"/>
  <c r="G286" i="7"/>
  <c r="F329" i="7"/>
  <c r="G329" i="7"/>
  <c r="H366" i="7"/>
  <c r="F353" i="7"/>
  <c r="G351" i="7"/>
  <c r="G354" i="7" s="1"/>
  <c r="G366" i="7"/>
  <c r="G435" i="7" s="1"/>
  <c r="H435" i="7"/>
  <c r="F454" i="7"/>
  <c r="F170" i="7"/>
  <c r="H170" i="7"/>
  <c r="F266" i="7"/>
  <c r="H266" i="7"/>
  <c r="F309" i="7"/>
  <c r="H309" i="7"/>
  <c r="H454" i="7"/>
  <c r="G454" i="7"/>
  <c r="F435" i="7"/>
  <c r="E435" i="7"/>
  <c r="H353" i="7"/>
  <c r="H351" i="7"/>
  <c r="G170" i="7"/>
  <c r="H221" i="7"/>
  <c r="G266" i="7"/>
  <c r="H286" i="7"/>
  <c r="G309" i="7"/>
  <c r="H329" i="7"/>
  <c r="H151" i="7"/>
  <c r="H152" i="7" s="1"/>
  <c r="G151" i="7"/>
  <c r="G152" i="7" s="1"/>
  <c r="F151" i="7"/>
  <c r="F152" i="7" s="1"/>
  <c r="E151" i="7"/>
  <c r="E152" i="7" s="1"/>
  <c r="H135" i="7"/>
  <c r="G135" i="7"/>
  <c r="F135" i="7"/>
  <c r="E135" i="7"/>
  <c r="H117" i="7"/>
  <c r="H118" i="7" s="1"/>
  <c r="G117" i="7"/>
  <c r="G118" i="7" s="1"/>
  <c r="F117" i="7"/>
  <c r="F118" i="7" s="1"/>
  <c r="E117" i="7"/>
  <c r="E118" i="7" s="1"/>
  <c r="H105" i="7"/>
  <c r="G105" i="7"/>
  <c r="F105" i="7"/>
  <c r="H104" i="7"/>
  <c r="G104" i="7"/>
  <c r="F104" i="7"/>
  <c r="H103" i="7"/>
  <c r="G103" i="7"/>
  <c r="F103" i="7"/>
  <c r="E103" i="7"/>
  <c r="H94" i="7"/>
  <c r="H95" i="7" s="1"/>
  <c r="G94" i="7"/>
  <c r="G95" i="7" s="1"/>
  <c r="F94" i="7"/>
  <c r="F95" i="7" s="1"/>
  <c r="E94" i="7"/>
  <c r="E95" i="7" s="1"/>
  <c r="H82" i="7"/>
  <c r="G82" i="7"/>
  <c r="F82" i="7"/>
  <c r="H81" i="7"/>
  <c r="G81" i="7"/>
  <c r="F81" i="7"/>
  <c r="H80" i="7"/>
  <c r="G80" i="7"/>
  <c r="F80" i="7"/>
  <c r="E80" i="7"/>
  <c r="H71" i="7"/>
  <c r="H72" i="7" s="1"/>
  <c r="G71" i="7"/>
  <c r="G72" i="7" s="1"/>
  <c r="F71" i="7"/>
  <c r="F72" i="7" s="1"/>
  <c r="E71" i="7"/>
  <c r="E72" i="7" s="1"/>
  <c r="H59" i="7"/>
  <c r="G59" i="7"/>
  <c r="F59" i="7"/>
  <c r="H58" i="7"/>
  <c r="G58" i="7"/>
  <c r="F58" i="7"/>
  <c r="H57" i="7"/>
  <c r="G57" i="7"/>
  <c r="F57" i="7"/>
  <c r="E57" i="7"/>
  <c r="H48" i="7"/>
  <c r="H49" i="7" s="1"/>
  <c r="G48" i="7"/>
  <c r="G49" i="7" s="1"/>
  <c r="F48" i="7"/>
  <c r="F49" i="7" s="1"/>
  <c r="E48" i="7"/>
  <c r="E49" i="7" s="1"/>
  <c r="H36" i="7"/>
  <c r="G36" i="7"/>
  <c r="F36" i="7"/>
  <c r="H35" i="7"/>
  <c r="G35" i="7"/>
  <c r="F35" i="7"/>
  <c r="H34" i="7"/>
  <c r="G34" i="7"/>
  <c r="F34" i="7"/>
  <c r="E34" i="7"/>
  <c r="H354" i="7" l="1"/>
  <c r="G438" i="7"/>
  <c r="H438" i="7"/>
  <c r="F37" i="7"/>
  <c r="G37" i="7"/>
  <c r="F83" i="7"/>
  <c r="G83" i="7"/>
  <c r="F138" i="7"/>
  <c r="G138" i="7"/>
  <c r="H436" i="7"/>
  <c r="F436" i="7"/>
  <c r="F60" i="7"/>
  <c r="H60" i="7"/>
  <c r="F106" i="7"/>
  <c r="H106" i="7"/>
  <c r="G436" i="7"/>
  <c r="G60" i="7"/>
  <c r="H138" i="7"/>
  <c r="H37" i="7"/>
  <c r="H83" i="7"/>
  <c r="G106" i="7"/>
  <c r="F133" i="6" l="1"/>
  <c r="G133" i="6"/>
  <c r="H133" i="6"/>
  <c r="H134" i="6" s="1"/>
  <c r="F131" i="6"/>
  <c r="G131" i="6"/>
  <c r="H131" i="6"/>
  <c r="F129" i="6"/>
  <c r="G129" i="6"/>
  <c r="H129" i="6"/>
  <c r="F127" i="6"/>
  <c r="G127" i="6"/>
  <c r="G128" i="6" s="1"/>
  <c r="H127" i="6"/>
  <c r="F125" i="6"/>
  <c r="G125" i="6"/>
  <c r="H125" i="6"/>
  <c r="F123" i="6"/>
  <c r="G123" i="6"/>
  <c r="G124" i="6" s="1"/>
  <c r="H123" i="6"/>
  <c r="F121" i="6"/>
  <c r="G121" i="6"/>
  <c r="H121" i="6"/>
  <c r="E133" i="6"/>
  <c r="E131" i="6"/>
  <c r="E129" i="6"/>
  <c r="E127" i="6"/>
  <c r="E125" i="6"/>
  <c r="F126" i="6" s="1"/>
  <c r="E123" i="6"/>
  <c r="E121" i="6"/>
  <c r="F118" i="6"/>
  <c r="G118" i="6"/>
  <c r="H118" i="6"/>
  <c r="E118" i="6"/>
  <c r="H138" i="6"/>
  <c r="F138" i="6"/>
  <c r="H136" i="6"/>
  <c r="G136" i="6"/>
  <c r="F134" i="6"/>
  <c r="H132" i="6"/>
  <c r="G132" i="6"/>
  <c r="F130" i="6"/>
  <c r="H128" i="6"/>
  <c r="H126" i="6"/>
  <c r="H124" i="6"/>
  <c r="H122" i="6"/>
  <c r="F122" i="6"/>
  <c r="F119" i="6"/>
  <c r="H116" i="6"/>
  <c r="G116" i="6"/>
  <c r="F116" i="6"/>
  <c r="E116" i="6"/>
  <c r="H102" i="6"/>
  <c r="G102" i="6"/>
  <c r="E102" i="6"/>
  <c r="H90" i="6"/>
  <c r="G90" i="6"/>
  <c r="F90" i="6"/>
  <c r="E90" i="6"/>
  <c r="F77" i="6"/>
  <c r="H76" i="6"/>
  <c r="G76" i="6"/>
  <c r="F76" i="6"/>
  <c r="E76" i="6"/>
  <c r="H66" i="6"/>
  <c r="G66" i="6"/>
  <c r="F66" i="6"/>
  <c r="E66" i="6"/>
  <c r="H55" i="6"/>
  <c r="G55" i="6"/>
  <c r="F55" i="6"/>
  <c r="H54" i="6"/>
  <c r="G54" i="6"/>
  <c r="F54" i="6"/>
  <c r="H53" i="6"/>
  <c r="G53" i="6"/>
  <c r="F53" i="6"/>
  <c r="E53" i="6"/>
  <c r="H44" i="6"/>
  <c r="H45" i="6" s="1"/>
  <c r="G44" i="6"/>
  <c r="G45" i="6" s="1"/>
  <c r="F44" i="6"/>
  <c r="F45" i="6" s="1"/>
  <c r="E44" i="6"/>
  <c r="E45" i="6" s="1"/>
  <c r="G379" i="5"/>
  <c r="F379" i="5"/>
  <c r="E379" i="5"/>
  <c r="D379" i="5"/>
  <c r="G377" i="5"/>
  <c r="F377" i="5"/>
  <c r="F378" i="5" s="1"/>
  <c r="E377" i="5"/>
  <c r="D377" i="5"/>
  <c r="G375" i="5"/>
  <c r="F375" i="5"/>
  <c r="E375" i="5"/>
  <c r="D375" i="5"/>
  <c r="G373" i="5"/>
  <c r="D373" i="5"/>
  <c r="G371" i="5"/>
  <c r="F371" i="5"/>
  <c r="E371" i="5"/>
  <c r="D371" i="5"/>
  <c r="G369" i="5"/>
  <c r="F369" i="5"/>
  <c r="E369" i="5"/>
  <c r="D369" i="5"/>
  <c r="G365" i="5"/>
  <c r="F365" i="5"/>
  <c r="F366" i="5" s="1"/>
  <c r="E365" i="5"/>
  <c r="D365" i="5"/>
  <c r="G363" i="5"/>
  <c r="F363" i="5"/>
  <c r="F364" i="5" s="1"/>
  <c r="E363" i="5"/>
  <c r="D363" i="5"/>
  <c r="G358" i="5"/>
  <c r="F358" i="5"/>
  <c r="E358" i="5"/>
  <c r="D358" i="5"/>
  <c r="E351" i="5"/>
  <c r="E350" i="5"/>
  <c r="D349" i="5"/>
  <c r="E352" i="5" s="1"/>
  <c r="G338" i="5"/>
  <c r="F338" i="5"/>
  <c r="E338" i="5"/>
  <c r="D338" i="5"/>
  <c r="G329" i="5"/>
  <c r="G310" i="5"/>
  <c r="G367" i="5" s="1"/>
  <c r="F310" i="5"/>
  <c r="F367" i="5" s="1"/>
  <c r="E310" i="5"/>
  <c r="E367" i="5" s="1"/>
  <c r="D310" i="5"/>
  <c r="D367" i="5" s="1"/>
  <c r="G303" i="5"/>
  <c r="F303" i="5"/>
  <c r="E303" i="5"/>
  <c r="G302" i="5"/>
  <c r="F302" i="5"/>
  <c r="E302" i="5"/>
  <c r="G301" i="5"/>
  <c r="F301" i="5"/>
  <c r="E301" i="5"/>
  <c r="D301" i="5"/>
  <c r="G292" i="5"/>
  <c r="G293" i="5" s="1"/>
  <c r="F292" i="5"/>
  <c r="F293" i="5" s="1"/>
  <c r="E292" i="5"/>
  <c r="E293" i="5" s="1"/>
  <c r="D292" i="5"/>
  <c r="D293" i="5" s="1"/>
  <c r="G280" i="5"/>
  <c r="F280" i="5"/>
  <c r="E280" i="5"/>
  <c r="G279" i="5"/>
  <c r="G278" i="5"/>
  <c r="F278" i="5"/>
  <c r="D278" i="5"/>
  <c r="E276" i="5"/>
  <c r="F279" i="5" s="1"/>
  <c r="G269" i="5"/>
  <c r="G270" i="5" s="1"/>
  <c r="F269" i="5"/>
  <c r="F270" i="5" s="1"/>
  <c r="E269" i="5"/>
  <c r="E270" i="5" s="1"/>
  <c r="D269" i="5"/>
  <c r="D270" i="5" s="1"/>
  <c r="G255" i="5"/>
  <c r="F255" i="5"/>
  <c r="E255" i="5"/>
  <c r="G254" i="5"/>
  <c r="F254" i="5"/>
  <c r="E254" i="5"/>
  <c r="G253" i="5"/>
  <c r="F253" i="5"/>
  <c r="E253" i="5"/>
  <c r="D253" i="5"/>
  <c r="G236" i="5"/>
  <c r="F236" i="5"/>
  <c r="E236" i="5"/>
  <c r="D236" i="5"/>
  <c r="G229" i="5"/>
  <c r="F229" i="5"/>
  <c r="G228" i="5"/>
  <c r="F228" i="5"/>
  <c r="G227" i="5"/>
  <c r="F227" i="5"/>
  <c r="D227" i="5"/>
  <c r="G218" i="5"/>
  <c r="F218" i="5"/>
  <c r="E218" i="5"/>
  <c r="D218" i="5"/>
  <c r="D209" i="5"/>
  <c r="G200" i="5"/>
  <c r="F200" i="5"/>
  <c r="E200" i="5"/>
  <c r="D200" i="5"/>
  <c r="D191" i="5"/>
  <c r="G182" i="5"/>
  <c r="F182" i="5"/>
  <c r="E182" i="5"/>
  <c r="D182" i="5"/>
  <c r="E175" i="5"/>
  <c r="E174" i="5"/>
  <c r="E173" i="5"/>
  <c r="D173" i="5"/>
  <c r="G164" i="5"/>
  <c r="F164" i="5"/>
  <c r="E164" i="5"/>
  <c r="D164" i="5"/>
  <c r="E157" i="5"/>
  <c r="E156" i="5"/>
  <c r="E155" i="5"/>
  <c r="D155" i="5"/>
  <c r="G146" i="5"/>
  <c r="F146" i="5"/>
  <c r="E146" i="5"/>
  <c r="D146" i="5"/>
  <c r="E139" i="5"/>
  <c r="F138" i="5"/>
  <c r="E138" i="5"/>
  <c r="D137" i="5"/>
  <c r="E140" i="5" s="1"/>
  <c r="F136" i="5"/>
  <c r="F139" i="5" s="1"/>
  <c r="G126" i="5"/>
  <c r="F126" i="5"/>
  <c r="E126" i="5"/>
  <c r="D126" i="5"/>
  <c r="F119" i="5"/>
  <c r="G118" i="5"/>
  <c r="F118" i="5"/>
  <c r="F117" i="5"/>
  <c r="D117" i="5"/>
  <c r="G116" i="5"/>
  <c r="G119" i="5" s="1"/>
  <c r="G108" i="5"/>
  <c r="F108" i="5"/>
  <c r="E108" i="5"/>
  <c r="D108" i="5"/>
  <c r="G100" i="5"/>
  <c r="F100" i="5"/>
  <c r="D99" i="5"/>
  <c r="G98" i="5"/>
  <c r="G101" i="5" s="1"/>
  <c r="F98" i="5"/>
  <c r="F101" i="5" s="1"/>
  <c r="G90" i="5"/>
  <c r="F90" i="5"/>
  <c r="E90" i="5"/>
  <c r="D90" i="5"/>
  <c r="G83" i="5"/>
  <c r="F83" i="5"/>
  <c r="E83" i="5"/>
  <c r="G82" i="5"/>
  <c r="F82" i="5"/>
  <c r="G81" i="5"/>
  <c r="F81" i="5"/>
  <c r="E81" i="5"/>
  <c r="D79" i="5"/>
  <c r="E82" i="5" s="1"/>
  <c r="G69" i="5"/>
  <c r="G70" i="5" s="1"/>
  <c r="F69" i="5"/>
  <c r="F70" i="5" s="1"/>
  <c r="E69" i="5"/>
  <c r="E70" i="5" s="1"/>
  <c r="D69" i="5"/>
  <c r="D70" i="5" s="1"/>
  <c r="D55" i="5"/>
  <c r="G46" i="5"/>
  <c r="G47" i="5" s="1"/>
  <c r="D46" i="5"/>
  <c r="D47" i="5" s="1"/>
  <c r="F44" i="5"/>
  <c r="F373" i="5" s="1"/>
  <c r="E44" i="5"/>
  <c r="E46" i="5" s="1"/>
  <c r="E47" i="5" s="1"/>
  <c r="G34" i="5"/>
  <c r="F34" i="5"/>
  <c r="E34" i="5"/>
  <c r="G33" i="5"/>
  <c r="F33" i="5"/>
  <c r="E33" i="5"/>
  <c r="G32" i="5"/>
  <c r="F32" i="5"/>
  <c r="F35" i="5" s="1"/>
  <c r="E32" i="5"/>
  <c r="D32" i="5"/>
  <c r="F79" i="6" l="1"/>
  <c r="F380" i="5"/>
  <c r="G84" i="5"/>
  <c r="G230" i="5"/>
  <c r="E256" i="5"/>
  <c r="G256" i="5"/>
  <c r="G281" i="5"/>
  <c r="E304" i="5"/>
  <c r="G304" i="5"/>
  <c r="F56" i="6"/>
  <c r="G56" i="6"/>
  <c r="G79" i="6"/>
  <c r="H130" i="6"/>
  <c r="H79" i="6"/>
  <c r="H119" i="6"/>
  <c r="E119" i="6"/>
  <c r="F120" i="6" s="1"/>
  <c r="G119" i="6"/>
  <c r="G120" i="6" s="1"/>
  <c r="G122" i="6"/>
  <c r="F124" i="6"/>
  <c r="G126" i="6"/>
  <c r="F128" i="6"/>
  <c r="G130" i="6"/>
  <c r="F132" i="6"/>
  <c r="G134" i="6"/>
  <c r="F136" i="6"/>
  <c r="G138" i="6"/>
  <c r="H56" i="6"/>
  <c r="E35" i="5"/>
  <c r="G35" i="5"/>
  <c r="F84" i="5"/>
  <c r="F120" i="5"/>
  <c r="E158" i="5"/>
  <c r="E176" i="5"/>
  <c r="F230" i="5"/>
  <c r="F256" i="5"/>
  <c r="F304" i="5"/>
  <c r="E364" i="5"/>
  <c r="G364" i="5"/>
  <c r="E366" i="5"/>
  <c r="G366" i="5"/>
  <c r="E378" i="5"/>
  <c r="G378" i="5"/>
  <c r="E380" i="5"/>
  <c r="G380" i="5"/>
  <c r="E368" i="5"/>
  <c r="G368" i="5"/>
  <c r="G361" i="5"/>
  <c r="D361" i="5"/>
  <c r="F368" i="5"/>
  <c r="F361" i="5"/>
  <c r="G374" i="5"/>
  <c r="F46" i="5"/>
  <c r="F47" i="5" s="1"/>
  <c r="D81" i="5"/>
  <c r="E84" i="5" s="1"/>
  <c r="F99" i="5"/>
  <c r="F102" i="5" s="1"/>
  <c r="F137" i="5"/>
  <c r="F140" i="5" s="1"/>
  <c r="E279" i="5"/>
  <c r="D315" i="5"/>
  <c r="D316" i="5" s="1"/>
  <c r="F315" i="5"/>
  <c r="F316" i="5" s="1"/>
  <c r="E373" i="5"/>
  <c r="E374" i="5" s="1"/>
  <c r="G99" i="5"/>
  <c r="G117" i="5"/>
  <c r="G120" i="5" s="1"/>
  <c r="E278" i="5"/>
  <c r="E281" i="5" s="1"/>
  <c r="E315" i="5"/>
  <c r="E316" i="5" s="1"/>
  <c r="G315" i="5"/>
  <c r="G316" i="5" s="1"/>
  <c r="H294" i="4"/>
  <c r="G294" i="4"/>
  <c r="F294" i="4"/>
  <c r="E294" i="4"/>
  <c r="H292" i="4"/>
  <c r="G292" i="4"/>
  <c r="F292" i="4"/>
  <c r="E292" i="4"/>
  <c r="H290" i="4"/>
  <c r="G290" i="4"/>
  <c r="F290" i="4"/>
  <c r="E290" i="4"/>
  <c r="H288" i="4"/>
  <c r="G288" i="4"/>
  <c r="F288" i="4"/>
  <c r="E288" i="4"/>
  <c r="H286" i="4"/>
  <c r="H287" i="4" s="1"/>
  <c r="G286" i="4"/>
  <c r="F286" i="4"/>
  <c r="E286" i="4"/>
  <c r="H284" i="4"/>
  <c r="H285" i="4" s="1"/>
  <c r="G284" i="4"/>
  <c r="F284" i="4"/>
  <c r="E284" i="4"/>
  <c r="H282" i="4"/>
  <c r="G282" i="4"/>
  <c r="F282" i="4"/>
  <c r="E282" i="4"/>
  <c r="H280" i="4"/>
  <c r="G280" i="4"/>
  <c r="F280" i="4"/>
  <c r="F276" i="4" s="1"/>
  <c r="E280" i="4"/>
  <c r="H278" i="4"/>
  <c r="G278" i="4"/>
  <c r="F278" i="4"/>
  <c r="E278" i="4"/>
  <c r="H276" i="4"/>
  <c r="G276" i="4"/>
  <c r="E276" i="4"/>
  <c r="H275" i="4"/>
  <c r="G275" i="4"/>
  <c r="F275" i="4"/>
  <c r="E275" i="4"/>
  <c r="H269" i="4"/>
  <c r="H273" i="4" s="1"/>
  <c r="G269" i="4"/>
  <c r="G273" i="4" s="1"/>
  <c r="F269" i="4"/>
  <c r="F273" i="4" s="1"/>
  <c r="E269" i="4"/>
  <c r="E273" i="4" s="1"/>
  <c r="G255" i="4"/>
  <c r="F255" i="4"/>
  <c r="H254" i="4"/>
  <c r="G254" i="4"/>
  <c r="F254" i="4"/>
  <c r="H253" i="4"/>
  <c r="H256" i="4" s="1"/>
  <c r="G253" i="4"/>
  <c r="G256" i="4" s="1"/>
  <c r="F253" i="4"/>
  <c r="F256" i="4" s="1"/>
  <c r="E253" i="4"/>
  <c r="H244" i="4"/>
  <c r="H245" i="4" s="1"/>
  <c r="G244" i="4"/>
  <c r="G245" i="4" s="1"/>
  <c r="F244" i="4"/>
  <c r="F245" i="4" s="1"/>
  <c r="E244" i="4"/>
  <c r="E245" i="4" s="1"/>
  <c r="H232" i="4"/>
  <c r="G232" i="4"/>
  <c r="F232" i="4"/>
  <c r="H231" i="4"/>
  <c r="G231" i="4"/>
  <c r="F231" i="4"/>
  <c r="H230" i="4"/>
  <c r="G230" i="4"/>
  <c r="F230" i="4"/>
  <c r="E230" i="4"/>
  <c r="H216" i="4"/>
  <c r="G216" i="4"/>
  <c r="F216" i="4"/>
  <c r="E216" i="4"/>
  <c r="H209" i="4"/>
  <c r="G209" i="4"/>
  <c r="F209" i="4"/>
  <c r="H208" i="4"/>
  <c r="G208" i="4"/>
  <c r="F208" i="4"/>
  <c r="H207" i="4"/>
  <c r="H210" i="4" s="1"/>
  <c r="G207" i="4"/>
  <c r="F207" i="4"/>
  <c r="F210" i="4" s="1"/>
  <c r="E207" i="4"/>
  <c r="H197" i="4"/>
  <c r="G197" i="4"/>
  <c r="F197" i="4"/>
  <c r="E197" i="4"/>
  <c r="H190" i="4"/>
  <c r="G190" i="4"/>
  <c r="F190" i="4"/>
  <c r="H189" i="4"/>
  <c r="G189" i="4"/>
  <c r="F189" i="4"/>
  <c r="H188" i="4"/>
  <c r="H191" i="4" s="1"/>
  <c r="G188" i="4"/>
  <c r="G191" i="4" s="1"/>
  <c r="F188" i="4"/>
  <c r="F191" i="4" s="1"/>
  <c r="E188" i="4"/>
  <c r="H176" i="4"/>
  <c r="H177" i="4" s="1"/>
  <c r="G176" i="4"/>
  <c r="G177" i="4" s="1"/>
  <c r="F176" i="4"/>
  <c r="F177" i="4" s="1"/>
  <c r="E176" i="4"/>
  <c r="E177" i="4" s="1"/>
  <c r="H162" i="4"/>
  <c r="G162" i="4"/>
  <c r="F162" i="4"/>
  <c r="H161" i="4"/>
  <c r="G161" i="4"/>
  <c r="F161" i="4"/>
  <c r="H160" i="4"/>
  <c r="G160" i="4"/>
  <c r="G163" i="4" s="1"/>
  <c r="F160" i="4"/>
  <c r="F163" i="4" s="1"/>
  <c r="E160" i="4"/>
  <c r="H143" i="4"/>
  <c r="G143" i="4"/>
  <c r="F143" i="4"/>
  <c r="E143" i="4"/>
  <c r="H136" i="4"/>
  <c r="G136" i="4"/>
  <c r="F136" i="4"/>
  <c r="H135" i="4"/>
  <c r="G135" i="4"/>
  <c r="F135" i="4"/>
  <c r="H134" i="4"/>
  <c r="H137" i="4" s="1"/>
  <c r="G134" i="4"/>
  <c r="G137" i="4" s="1"/>
  <c r="F134" i="4"/>
  <c r="F137" i="4" s="1"/>
  <c r="E134" i="4"/>
  <c r="H125" i="4"/>
  <c r="G125" i="4"/>
  <c r="F125" i="4"/>
  <c r="E125" i="4"/>
  <c r="H118" i="4"/>
  <c r="G118" i="4"/>
  <c r="F118" i="4"/>
  <c r="H117" i="4"/>
  <c r="G117" i="4"/>
  <c r="F117" i="4"/>
  <c r="H116" i="4"/>
  <c r="H119" i="4" s="1"/>
  <c r="G116" i="4"/>
  <c r="G119" i="4" s="1"/>
  <c r="F116" i="4"/>
  <c r="F119" i="4" s="1"/>
  <c r="E116" i="4"/>
  <c r="H107" i="4"/>
  <c r="G107" i="4"/>
  <c r="F107" i="4"/>
  <c r="E107" i="4"/>
  <c r="H100" i="4"/>
  <c r="G100" i="4"/>
  <c r="F100" i="4"/>
  <c r="H99" i="4"/>
  <c r="G99" i="4"/>
  <c r="F99" i="4"/>
  <c r="H98" i="4"/>
  <c r="H101" i="4" s="1"/>
  <c r="G98" i="4"/>
  <c r="G101" i="4" s="1"/>
  <c r="F98" i="4"/>
  <c r="F101" i="4" s="1"/>
  <c r="E98" i="4"/>
  <c r="H89" i="4"/>
  <c r="G89" i="4"/>
  <c r="F89" i="4"/>
  <c r="E89" i="4"/>
  <c r="H82" i="4"/>
  <c r="G82" i="4"/>
  <c r="F82" i="4"/>
  <c r="H81" i="4"/>
  <c r="G81" i="4"/>
  <c r="F81" i="4"/>
  <c r="H80" i="4"/>
  <c r="H83" i="4" s="1"/>
  <c r="G80" i="4"/>
  <c r="G83" i="4" s="1"/>
  <c r="F80" i="4"/>
  <c r="F83" i="4" s="1"/>
  <c r="E80" i="4"/>
  <c r="H66" i="4"/>
  <c r="G66" i="4"/>
  <c r="F66" i="4"/>
  <c r="E66" i="4"/>
  <c r="H59" i="4"/>
  <c r="G59" i="4"/>
  <c r="F59" i="4"/>
  <c r="H58" i="4"/>
  <c r="G58" i="4"/>
  <c r="F58" i="4"/>
  <c r="H57" i="4"/>
  <c r="H60" i="4" s="1"/>
  <c r="G57" i="4"/>
  <c r="G60" i="4" s="1"/>
  <c r="F57" i="4"/>
  <c r="F60" i="4" s="1"/>
  <c r="E57" i="4"/>
  <c r="H45" i="4"/>
  <c r="H46" i="4" s="1"/>
  <c r="G45" i="4"/>
  <c r="G46" i="4" s="1"/>
  <c r="F46" i="4"/>
  <c r="E45" i="4"/>
  <c r="E46" i="4" s="1"/>
  <c r="H33" i="4"/>
  <c r="G33" i="4"/>
  <c r="F33" i="4"/>
  <c r="H32" i="4"/>
  <c r="G32" i="4"/>
  <c r="F32" i="4"/>
  <c r="H31" i="4"/>
  <c r="G31" i="4"/>
  <c r="G34" i="4" s="1"/>
  <c r="F31" i="4"/>
  <c r="E31" i="4"/>
  <c r="H233" i="4" l="1"/>
  <c r="G233" i="4"/>
  <c r="F233" i="4"/>
  <c r="G295" i="4"/>
  <c r="G210" i="4"/>
  <c r="F285" i="4"/>
  <c r="F287" i="4"/>
  <c r="G285" i="4"/>
  <c r="G287" i="4"/>
  <c r="H163" i="4"/>
  <c r="H293" i="4"/>
  <c r="G293" i="4"/>
  <c r="F293" i="4"/>
  <c r="H295" i="4"/>
  <c r="F295" i="4"/>
  <c r="H291" i="4"/>
  <c r="H289" i="4"/>
  <c r="H283" i="4"/>
  <c r="H281" i="4"/>
  <c r="H279" i="4"/>
  <c r="G291" i="4"/>
  <c r="G289" i="4"/>
  <c r="G283" i="4"/>
  <c r="G281" i="4"/>
  <c r="G277" i="4"/>
  <c r="G279" i="4"/>
  <c r="F291" i="4"/>
  <c r="F289" i="4"/>
  <c r="F283" i="4"/>
  <c r="F281" i="4"/>
  <c r="F279" i="4"/>
  <c r="H296" i="4"/>
  <c r="H34" i="4"/>
  <c r="F296" i="4"/>
  <c r="F34" i="4"/>
  <c r="E296" i="4"/>
  <c r="H120" i="6"/>
  <c r="G102" i="5"/>
  <c r="F360" i="5"/>
  <c r="F381" i="5" s="1"/>
  <c r="E360" i="5"/>
  <c r="F374" i="5"/>
  <c r="G362" i="5"/>
  <c r="E361" i="5"/>
  <c r="F362" i="5" s="1"/>
  <c r="G360" i="5"/>
  <c r="G381" i="5" s="1"/>
  <c r="F281" i="5"/>
  <c r="D360" i="5"/>
  <c r="D381" i="5" s="1"/>
  <c r="F277" i="4"/>
  <c r="H277" i="4"/>
  <c r="G296" i="4"/>
  <c r="G159" i="2"/>
  <c r="G160" i="2" s="1"/>
  <c r="F159" i="2"/>
  <c r="E159" i="2"/>
  <c r="E160" i="2" s="1"/>
  <c r="D159" i="2"/>
  <c r="G157" i="2"/>
  <c r="F157" i="2"/>
  <c r="E157" i="2"/>
  <c r="D157" i="2"/>
  <c r="G155" i="2"/>
  <c r="G156" i="2" s="1"/>
  <c r="F155" i="2"/>
  <c r="E155" i="2"/>
  <c r="E156" i="2" s="1"/>
  <c r="D155" i="2"/>
  <c r="G153" i="2"/>
  <c r="F153" i="2"/>
  <c r="E153" i="2"/>
  <c r="E151" i="2" s="1"/>
  <c r="D153" i="2"/>
  <c r="D151" i="2" s="1"/>
  <c r="G151" i="2"/>
  <c r="G150" i="2"/>
  <c r="F150" i="2"/>
  <c r="E150" i="2"/>
  <c r="D150" i="2"/>
  <c r="G147" i="2"/>
  <c r="G148" i="2" s="1"/>
  <c r="F147" i="2"/>
  <c r="F148" i="2" s="1"/>
  <c r="E147" i="2"/>
  <c r="E148" i="2" s="1"/>
  <c r="D147" i="2"/>
  <c r="D148" i="2" s="1"/>
  <c r="G133" i="2"/>
  <c r="F133" i="2"/>
  <c r="E133" i="2"/>
  <c r="G132" i="2"/>
  <c r="F132" i="2"/>
  <c r="E132" i="2"/>
  <c r="G131" i="2"/>
  <c r="F131" i="2"/>
  <c r="E131" i="2"/>
  <c r="D131" i="2"/>
  <c r="G117" i="2"/>
  <c r="F117" i="2"/>
  <c r="E117" i="2"/>
  <c r="D117" i="2"/>
  <c r="G111" i="2"/>
  <c r="F111" i="2"/>
  <c r="E111" i="2"/>
  <c r="G110" i="2"/>
  <c r="F110" i="2"/>
  <c r="E110" i="2"/>
  <c r="G109" i="2"/>
  <c r="F109" i="2"/>
  <c r="E109" i="2"/>
  <c r="D109" i="2"/>
  <c r="G97" i="2"/>
  <c r="G98" i="2" s="1"/>
  <c r="F97" i="2"/>
  <c r="F98" i="2" s="1"/>
  <c r="E97" i="2"/>
  <c r="E98" i="2" s="1"/>
  <c r="D97" i="2"/>
  <c r="D98" i="2" s="1"/>
  <c r="G85" i="2"/>
  <c r="F85" i="2"/>
  <c r="E85" i="2"/>
  <c r="G84" i="2"/>
  <c r="F84" i="2"/>
  <c r="E84" i="2"/>
  <c r="G83" i="2"/>
  <c r="F83" i="2"/>
  <c r="E83" i="2"/>
  <c r="D83" i="2"/>
  <c r="G74" i="2"/>
  <c r="G75" i="2" s="1"/>
  <c r="F74" i="2"/>
  <c r="F75" i="2" s="1"/>
  <c r="E74" i="2"/>
  <c r="E75" i="2" s="1"/>
  <c r="D74" i="2"/>
  <c r="D75" i="2" s="1"/>
  <c r="G62" i="2"/>
  <c r="F62" i="2"/>
  <c r="E62" i="2"/>
  <c r="G61" i="2"/>
  <c r="F61" i="2"/>
  <c r="E61" i="2"/>
  <c r="G60" i="2"/>
  <c r="F60" i="2"/>
  <c r="E60" i="2"/>
  <c r="D60" i="2"/>
  <c r="G51" i="2"/>
  <c r="G52" i="2" s="1"/>
  <c r="F51" i="2"/>
  <c r="F52" i="2" s="1"/>
  <c r="E51" i="2"/>
  <c r="E52" i="2" s="1"/>
  <c r="D51" i="2"/>
  <c r="D52" i="2" s="1"/>
  <c r="G39" i="2"/>
  <c r="F39" i="2"/>
  <c r="E39" i="2"/>
  <c r="G38" i="2"/>
  <c r="F38" i="2"/>
  <c r="E38" i="2"/>
  <c r="G37" i="2"/>
  <c r="F37" i="2"/>
  <c r="E37" i="2"/>
  <c r="D37" i="2"/>
  <c r="E40" i="2" s="1"/>
  <c r="C2" i="2"/>
  <c r="G63" i="2" l="1"/>
  <c r="E63" i="2"/>
  <c r="E134" i="2"/>
  <c r="E112" i="2"/>
  <c r="G112" i="2"/>
  <c r="G161" i="2"/>
  <c r="F40" i="2"/>
  <c r="E86" i="2"/>
  <c r="F86" i="2"/>
  <c r="F134" i="2"/>
  <c r="E161" i="2"/>
  <c r="D161" i="2"/>
  <c r="F154" i="2"/>
  <c r="E158" i="2"/>
  <c r="F158" i="2"/>
  <c r="E381" i="5"/>
  <c r="E362" i="5"/>
  <c r="G40" i="2"/>
  <c r="F63" i="2"/>
  <c r="G86" i="2"/>
  <c r="F112" i="2"/>
  <c r="G134" i="2"/>
  <c r="E154" i="2"/>
  <c r="G154" i="2"/>
  <c r="F156" i="2"/>
  <c r="G158" i="2"/>
  <c r="F160" i="2"/>
  <c r="F151" i="2"/>
  <c r="G152" i="2" s="1"/>
  <c r="E152" i="2"/>
  <c r="F161" i="2" l="1"/>
  <c r="F152" i="2"/>
</calcChain>
</file>

<file path=xl/sharedStrings.xml><?xml version="1.0" encoding="utf-8"?>
<sst xmlns="http://schemas.openxmlformats.org/spreadsheetml/2006/main" count="3767" uniqueCount="643">
  <si>
    <t>FORMATI 1: MISIONI I NJËSISË SË QEVERISJES QENDRORE</t>
  </si>
  <si>
    <t>Emërtimi i Njësisë së Qeverisjes Qendrore</t>
  </si>
  <si>
    <t>Kodi i Njësisë së Qeverisjes Qendrore</t>
  </si>
  <si>
    <t>16</t>
  </si>
  <si>
    <t>Misioni i Njësisë së Qeverisjes Qendrore</t>
  </si>
  <si>
    <t>Programet Buxhetore</t>
  </si>
  <si>
    <t>Kodi i Programit</t>
  </si>
  <si>
    <t>Përshkrimi i Programit</t>
  </si>
  <si>
    <t>01110</t>
  </si>
  <si>
    <t>01160</t>
  </si>
  <si>
    <t>Planifikim, Menaxhimi dhe Administrimi</t>
  </si>
  <si>
    <t>Menaxhimi i Shpezimeve Publike</t>
  </si>
  <si>
    <t>01120</t>
  </si>
  <si>
    <t xml:space="preserve">Ekzekutimi i Pagesave te Ndryshme </t>
  </si>
  <si>
    <t>01130</t>
  </si>
  <si>
    <t>Menaxhimi i te Ardhurave Tatimore</t>
  </si>
  <si>
    <t>01140</t>
  </si>
  <si>
    <t>Menaxhimi i te Ardhurave Doganore</t>
  </si>
  <si>
    <t>01150</t>
  </si>
  <si>
    <t>Lufta kunder Transaksioneve Finnaciare Jo-Ligjore</t>
  </si>
  <si>
    <t>Mbeshtetje per Zhvillimin Ekonomik</t>
  </si>
  <si>
    <t>Mbeshtetje per Mbikeqyrjen e Tregut, Infras. E Cilesise dhe Pron.Industriale</t>
  </si>
  <si>
    <t>Sigurimi Shoqeror</t>
  </si>
  <si>
    <t>Tregu i Punes</t>
  </si>
  <si>
    <t>Inspektimi i Punes</t>
  </si>
  <si>
    <t>Arsimi i Mesem (Profesional)</t>
  </si>
  <si>
    <t>04130</t>
  </si>
  <si>
    <t>Strehimi</t>
  </si>
  <si>
    <t>04160</t>
  </si>
  <si>
    <t>04170</t>
  </si>
  <si>
    <t>09240</t>
  </si>
  <si>
    <t>06190</t>
  </si>
  <si>
    <t>Misioni  i  Ministrisë  së  Financave  dhe  Ekonomisë  është  arritja  e  stabilitetit  ekonomik  nëpërmjet  drejtimit  me  efektshmëri,  efektivitet  dhe  transparencë  të  financave  publike.  Ajo  përgatit  dhe  zbaton  politikat e qeverisë në sferën ekonomike, për bashkërendimin e ndihmës së huaj, të tregtisë, strehimit dhe të  sipërmarrjes  për  ndërtimin  e  një  modeli  të  ri ekonomik,  me  synim  rritjen  ekonomike,  të  lartë  e  të  qëndrueshme  në  Shqipëri.  Kjo  ministri  harton  dhe  zbaton  politika  të integruara  ekonomike  në  sektorët  parësorë të ekonomisë, konvergjimit ekonomiko-social të rajoneve të vendit, përmirësimit të klimës e të shërbimeve për biznesin dhe sipërmarrjen.Ajo  ka  si  mision,  gjithashtu,  garantimin  e  të  drejtave  kushtetuese  për  arsim dhe  formim  profesional,  punësim të sigurt e të denjë, sigurim shoqëror.</t>
  </si>
  <si>
    <t xml:space="preserve">FORMAT 2.1 : FORMATI STANDARD I PËRGATITJES SË KËRKESAVE BUXHETORE PBA 2019-2021 </t>
  </si>
  <si>
    <t>Emërtimi i Programit Buxhetor</t>
  </si>
  <si>
    <t>Menaxhimi I Shpenzimeve Publike</t>
  </si>
  <si>
    <t>Programi Buxhetor Afatmesëm</t>
  </si>
  <si>
    <t>2019-2021</t>
  </si>
  <si>
    <t xml:space="preserve">Fusha e veprimit te ketij programi konsiston ne:  1. Pergatitjen e kuadrit makroekonomik dhe fiskal  2. Planifikimin dhe monitorimin e zbatimit te Programit Buxhetor Afatmesem dhe Buxhetit Vjetor 3. Menaxhimin e borxhit publik 4.Harmonizimi i menaxhimin financiar dhe kontrollin ne institucionet publike. 5. Hartimi dhe miratimi i planeve, programeve dhe strategjive per MFK dhe AB ne sektorin publik. Sigurimi i nje procesi me cilesi te larte dhe transparent dhe pergjegjshmeri per zhvillimin dhe implementimin e KBFP ne sektorin publik. </t>
  </si>
  <si>
    <t>Qëllimet e Politikës së Programit</t>
  </si>
  <si>
    <t>Nje sistem i menaxhimit te shpenzimeve publike gjitheperfshires (planifikim, zbaim, monitorim dhe kontroll) dhe transparent qe alokon burimet e qeverisjes qendrore me qellim promovimin e rritjes se shpejte dhe te qendrueshme ekonomike dhe nderkohe ruan stabilitetin makroekonomik dhe fiskal.</t>
  </si>
  <si>
    <t>Treguesit e Performancës në nivel Qëllimi</t>
  </si>
  <si>
    <t>Buxheti</t>
  </si>
  <si>
    <t>Parashikimi</t>
  </si>
  <si>
    <t>Niveli i rritjes reale te GDP(%)</t>
  </si>
  <si>
    <t>Niveli i borxhit publik ne raport me GDP (%)</t>
  </si>
  <si>
    <t>Objektivi 1 i Politikës së Programit</t>
  </si>
  <si>
    <t>Planifikim i mire i shpenzimeve dhe nje administrim i mire i te ardhurave, duke reflektuar nje rritje ekonomike te shpejte dhe te qendrueshme.
Permiresimi I cilesise se Dokumentit te Programit Buxhetor Afatmesem, si dhe te procesit te pergatitjes se ketij dokumenti gjate fazes Strategjike dhe Teknike te tij.</t>
  </si>
  <si>
    <t>Treguesit e Performancës për Objektivin 1</t>
  </si>
  <si>
    <t>Trendi I Mbledhjes se te ardhurave (ne % ndaj GDP)</t>
  </si>
  <si>
    <t>Trend Rrites</t>
  </si>
  <si>
    <t>Besueshmeria e Buxhetit: % e devijimit te shpenzimeve faktike nga shpenzimet e planifikuara</t>
  </si>
  <si>
    <t>(-1.24%)</t>
  </si>
  <si>
    <t>Trend drejt vleres 0</t>
  </si>
  <si>
    <t>Trend drejt vleres 1</t>
  </si>
  <si>
    <t>Trend drejt vleres 2</t>
  </si>
  <si>
    <t xml:space="preserve">% e realizimit dhe permbushjes se kritereve te vendosura nga Open Budet Index, per Shqiperine (Transparenca Buxhetore) </t>
  </si>
  <si>
    <t>Rritja e mbledhjes se te ardhurave si rezultat I permiresimit te performances administrative ne Drejtorine e Pergjithshme te Tatimeve dhe te Doganave (%)</t>
  </si>
  <si>
    <t>Trend rrites</t>
  </si>
  <si>
    <t>Diferenca midis teprices/deficitit faktik me tepricen/deficitin e parashikuar</t>
  </si>
  <si>
    <t>Devijimi midis shpenzimeve kapitale faktike dhe atyre te miratuara</t>
  </si>
  <si>
    <t>Vlera Bazë</t>
  </si>
  <si>
    <t>Vlera e Synuar</t>
  </si>
  <si>
    <t>Trendi I invetsimeve publike (ne % ndaj GDP)</t>
  </si>
  <si>
    <t>Detyrimet e prapambetura (Stock) (ne milion leke)</t>
  </si>
  <si>
    <t>Trendi ne vleren 0</t>
  </si>
  <si>
    <t>Devijimi ne % I rrtije se te ardhurave faktike nga te ardhurat e planifikuara</t>
  </si>
  <si>
    <t>(-0.7%)</t>
  </si>
  <si>
    <t>Numri I Programeve buxhetore qe planifikojne Produkte me Baze Gjinore (nr. Programesh buxhetore</t>
  </si>
  <si>
    <t>Produktet për Objektivin 1</t>
  </si>
  <si>
    <t>Shpenzimet Korrente</t>
  </si>
  <si>
    <t>Produkti 1***</t>
  </si>
  <si>
    <t>Akte ligjore dhe nenligjore te pergatitura</t>
  </si>
  <si>
    <t>Përshkrimi i Produktit:</t>
  </si>
  <si>
    <t>Akte ligjore dhe nenligjore te cilat pergatiten nga drejtorite perkatese, sipas fushes, te cilat dergohen me pas per miratim ne Keshillin e Ministrave</t>
  </si>
  <si>
    <t>Njësia Matëse</t>
  </si>
  <si>
    <t>Nr. Aktesh</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</si>
  <si>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</si>
  <si>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</si>
  <si>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</si>
  <si>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</si>
  <si>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</si>
  <si>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</si>
  <si>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</si>
  <si>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</si>
  <si>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</si>
  <si>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</si>
  <si>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</si>
  <si>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</si>
  <si>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</si>
  <si>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</si>
  <si>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</si>
  <si>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</si>
  <si>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</si>
  <si>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t>Produkti 2</t>
  </si>
  <si>
    <t xml:space="preserve">Dokumenti i Projektligjit Vjetor tw Buxhetit </t>
  </si>
  <si>
    <t>Pergatittja dhe dergimi per miratim ne Keshillin e ministrave dhe me pas ne Kuvend te Projektligjit Vjetor te Buxhetit</t>
  </si>
  <si>
    <t>Nr. Dokumentash</t>
  </si>
  <si>
    <r>
      <t xml:space="preserve">Detajimi i Kostos Totale të </t>
    </r>
    <r>
      <rPr>
        <b/>
        <sz val="8"/>
        <color rgb="FFFF0000"/>
        <rFont val="Garamond"/>
        <family val="1"/>
      </rPr>
      <t>Produktit 2</t>
    </r>
    <r>
      <rPr>
        <b/>
        <sz val="8"/>
        <color theme="1"/>
        <rFont val="Garamond"/>
        <family val="1"/>
      </rPr>
      <t xml:space="preserve"> sipas Artikujve Ekonomikë</t>
    </r>
  </si>
  <si>
    <t>Kosto totale e produktit 2</t>
  </si>
  <si>
    <t>Produkti 3</t>
  </si>
  <si>
    <t>Dokumenti i Programit Buxhetor Afatmesem</t>
  </si>
  <si>
    <t>Pergatittja dhe dergimi per Miratim ne Keshillin e Ministrave te Dokumentiti te Programit Buxhetor Afatmesem</t>
  </si>
  <si>
    <r>
      <t xml:space="preserve">Detajimi i Kostos Totale të </t>
    </r>
    <r>
      <rPr>
        <b/>
        <sz val="8"/>
        <color rgb="FFFF0000"/>
        <rFont val="Garamond"/>
        <family val="1"/>
      </rPr>
      <t>Produktit 3</t>
    </r>
    <r>
      <rPr>
        <b/>
        <sz val="8"/>
        <color theme="1"/>
        <rFont val="Garamond"/>
        <family val="1"/>
      </rPr>
      <t xml:space="preserve"> sipas Artikujve Ekonomikë</t>
    </r>
  </si>
  <si>
    <t>Kosto totale e produktit 3</t>
  </si>
  <si>
    <t>Shpenzimet Kapitale</t>
  </si>
  <si>
    <t>Kategoria 1: Shpenzimet Administrative Kapitale</t>
  </si>
  <si>
    <t>Kodi i Projektit të Investimeve****</t>
  </si>
  <si>
    <t>Emërtimi i Projektit të Investimeve</t>
  </si>
  <si>
    <t>Produkti 1</t>
  </si>
  <si>
    <t>Pajisje Kompjuterike te Blera</t>
  </si>
  <si>
    <t>Pajisje Kompjuterike te Blera per permiresimin e performances se stafit</t>
  </si>
  <si>
    <t>Numer Pajisjesh</t>
  </si>
  <si>
    <t xml:space="preserve">231. Aktive të trupëzuara </t>
  </si>
  <si>
    <t xml:space="preserve">Shënim: Shpjegoni supozimet dhe llogaritjet për Produktin 1 </t>
  </si>
  <si>
    <t xml:space="preserve">Shpenzimet Korrente </t>
  </si>
  <si>
    <t>Produkti 4</t>
  </si>
  <si>
    <t>Raporte te Konsoliduara Financiare dhe Fiskale</t>
  </si>
  <si>
    <t>Raporte financiare dhe fiskale te publikuara ne kohe reale, transparente, telexueshme dhe te aksesuseshme lehtesisht</t>
  </si>
  <si>
    <t>Nr. Raportesh</t>
  </si>
  <si>
    <r>
      <t xml:space="preserve">Detajimi i Kostos Totale të </t>
    </r>
    <r>
      <rPr>
        <b/>
        <sz val="8"/>
        <color rgb="FFFF0000"/>
        <rFont val="Garamond"/>
        <family val="1"/>
      </rPr>
      <t xml:space="preserve">Produktit 4 </t>
    </r>
    <r>
      <rPr>
        <b/>
        <sz val="8"/>
        <color theme="1"/>
        <rFont val="Garamond"/>
        <family val="1"/>
      </rPr>
      <t>sipas Artikujve Ekonomikë</t>
    </r>
  </si>
  <si>
    <t>Kosto totale e produktit sipas artikujve ekonomikë</t>
  </si>
  <si>
    <t>Totali i shpenzimeve të Programit sipas produkteve*****</t>
  </si>
  <si>
    <t>Totali i shpenzimeve të Programit sipas artikujve*****</t>
  </si>
  <si>
    <t>Ndryshimi në % i totalit të shpenzimeve të Programit</t>
  </si>
  <si>
    <t>Ndryshimi në % i Pagave</t>
  </si>
  <si>
    <t>Ndryshimi në % i Sigurimeve Shoqërore dhe Shëndetësore</t>
  </si>
  <si>
    <t>Ndryshimi në % i Mallrave dhe Shërbimeve</t>
  </si>
  <si>
    <t>230. Aktivet e patrupëzuara</t>
  </si>
  <si>
    <t>Ndryshimi në % i Aktiveve të Patrupëzuara</t>
  </si>
  <si>
    <t>Numri i Punonjësve Organik të Programit Buxhetor</t>
  </si>
  <si>
    <t>Numri i Punonjësve me Kontratë të Programit Buxhetor</t>
  </si>
  <si>
    <t>Detajimi i Kostos Totale të Produktit 1 sipas Artikujve Ekonomikë</t>
  </si>
  <si>
    <t>Detajimi i Kostos Totale të Produktit 2 sipas Artikujve Ekonomikë</t>
  </si>
  <si>
    <t>Detajimi i Kostos Totale të Produktit 3 sipas Artikujve Ekonomikë</t>
  </si>
  <si>
    <t>Detajimi i Kostos Totale të Produktit 4 sipas Artikujve Ekonomikë</t>
  </si>
  <si>
    <t>Menaxhimi i të Ardhurave Tatimore</t>
  </si>
  <si>
    <t>Mbledhja dhe administrimi i të ardhurave tatimore, taksave kombëtare dhe kontributeve të sigurimeve shoqërore, shëndetësore në Republikën e Shqipërisë.</t>
  </si>
  <si>
    <t>Mbledhja e të ardhurave tatimore,jotatimore dhe kontributeve të sigurimeve shoqërore e shëndetsore në rritje 10% krahasuar me vitin 2017,nëpërmjet ushtrimit të kompetencave të atribuara nga legjislacioni fiskal.Zvogëlimi I hendekut tatimor duke lëvizur në përgjegjësitë tatimore nga Biznes i Vogël me tvsh në Biznes të Madh, nëpërmjet monitorimit të 80% te bizneseve të identifikuara me risk nga luhatjet në xhirot vjetore deri në fund të vitit 2018. Zgjerimi i bazës së tatimpaguesve të identifikuar me aktivitet të paregjistruar duke synuar rregjistrimin dhe ruajtjen si kontribues në masën 70% të rasteve të identifikuara.</t>
  </si>
  <si>
    <t>Treguesit e Performancës në nivel Qëllimi*</t>
  </si>
  <si>
    <t>Mbledhje të ardhurave tatimore dhe jotatimore, me rritje në raport me vlerën e realizuar faktike të vitit të mëparshëm</t>
  </si>
  <si>
    <t>10% më shumë në krahasim me vitin 2017</t>
  </si>
  <si>
    <t>10% më shumë në krahasim me vitin 2018</t>
  </si>
  <si>
    <t>10% më shumë në krahasim me vitin 2019</t>
  </si>
  <si>
    <t>10% më shumë në krahasim me vitin 2020</t>
  </si>
  <si>
    <t>Ndryshimi i përgjegjësisë tatimore</t>
  </si>
  <si>
    <t>rritje 1% e  bizneseve aktiv në lidhje me vitin 2017</t>
  </si>
  <si>
    <t>rritje 2% e  bizneseve aktiv në lidhje me vitin 2017</t>
  </si>
  <si>
    <t>rritje 3% e  bizneseve aktiv në lidhje me vitin 2017</t>
  </si>
  <si>
    <t>rritje 5% e  bizneseve aktiv në lidhje me vitin 2017</t>
  </si>
  <si>
    <t xml:space="preserve">Ulja e nivelit të borxhit </t>
  </si>
  <si>
    <t>5% mbi shtesën e borxhit të vitit të mëparshëm</t>
  </si>
  <si>
    <t>10% mbi shtesën e borxhit të vitit të mëparshëm</t>
  </si>
  <si>
    <t xml:space="preserve">Progresi organizativ i Administratës Tatimore dhe zhvilimi i kapaciteteve njerëzore, aplikimi i metodave dhe sistemeve për të menaxhuar një AT moderne, zhvillimi i kapaciteteve dhe motivimi i punonjësve, modernizimi dhe rinovimi i ambjenteve. </t>
  </si>
  <si>
    <t>Treguesit e Performancës për Objektivin 1**</t>
  </si>
  <si>
    <t>Realizimi trajnimesh të planifikuara jashtë vendit me asistencë të huaj dhe projekte</t>
  </si>
  <si>
    <t>80% te planit vjetor ne raport me faktin</t>
  </si>
  <si>
    <t>10% me shume realizim ne raport me vitin 2018</t>
  </si>
  <si>
    <t>Verifikimi ne terren per denoncimet mbi kodin e etikes</t>
  </si>
  <si>
    <t>70% në raport me denoncimet nga burime te ndryshme</t>
  </si>
  <si>
    <t>5 % me shume realizim ne raport me vitin 2018</t>
  </si>
  <si>
    <t>10 % me shume realizim ne raport me vitin 2018</t>
  </si>
  <si>
    <t>Produkti A</t>
  </si>
  <si>
    <t>Administratë Tatimore Qëndrore funksionale</t>
  </si>
  <si>
    <t>Administratë Tatimore Qëndrore funksionale me kapacitete menaxhuese</t>
  </si>
  <si>
    <t>Numër punonjësish</t>
  </si>
  <si>
    <r>
      <t xml:space="preserve">Detajimi i Kostos Totale të </t>
    </r>
    <r>
      <rPr>
        <b/>
        <sz val="8"/>
        <color rgb="FFFF0000"/>
        <rFont val="Garamond"/>
        <family val="1"/>
      </rPr>
      <t>Produktit A</t>
    </r>
    <r>
      <rPr>
        <b/>
        <sz val="8"/>
        <color theme="1"/>
        <rFont val="Garamond"/>
        <family val="1"/>
      </rPr>
      <t xml:space="preserve"> sipas Artikujve Ekonomikë</t>
    </r>
  </si>
  <si>
    <t>Kosto totale e produktit A</t>
  </si>
  <si>
    <t>M100024</t>
  </si>
  <si>
    <t>Blerje paisje zyre elektronike,komjuterike</t>
  </si>
  <si>
    <t xml:space="preserve">230. Aktive të patrupëzuara </t>
  </si>
  <si>
    <t>Kategoria 2: Shpenzimet për projekte investimesh</t>
  </si>
  <si>
    <t>M100255</t>
  </si>
  <si>
    <t>Pagesë Kontributi  vjetor Fiscalis 2020</t>
  </si>
  <si>
    <t>Sasior</t>
  </si>
  <si>
    <t>M100445</t>
  </si>
  <si>
    <t>Rikonstruksion DRT Tiranë-Shërbimi i Tatimpaguesit</t>
  </si>
  <si>
    <t>Kosto totale e produktit X</t>
  </si>
  <si>
    <t>M100446</t>
  </si>
  <si>
    <t>Rikonstruksion DPT</t>
  </si>
  <si>
    <r>
      <t xml:space="preserve">Detajimi i Kostos Totale të </t>
    </r>
    <r>
      <rPr>
        <b/>
        <sz val="8"/>
        <color rgb="FFFF0000"/>
        <rFont val="Garamond"/>
        <family val="1"/>
      </rPr>
      <t xml:space="preserve">Produktit A </t>
    </r>
    <r>
      <rPr>
        <b/>
        <sz val="8"/>
        <color theme="1"/>
        <rFont val="Garamond"/>
        <family val="1"/>
      </rPr>
      <t>sipas Artikujve Ekonomikë</t>
    </r>
  </si>
  <si>
    <t>Azhornimi i sistemit financiar Alpha Platinium Buxhetor</t>
  </si>
  <si>
    <t>Objektivi 2 i Politikës së Programit</t>
  </si>
  <si>
    <t>Garantimi i asistencës për përmbushjen vullnetare,ofrimi i shërbimeve cilësore dhe reduktimi i barrës administrative në pagesën e detyrimeve tatimore dhe kontributeve sig.shoqërore.Rritja e ndërgjegjësimit publik duke ndihmuar në zhvillimin e kulturës për përmbushje vullnetare më të lartë.</t>
  </si>
  <si>
    <t>Treguesit e Performancës për Objektivin 2</t>
  </si>
  <si>
    <t>Numri i bizneseve të regjistruara</t>
  </si>
  <si>
    <t>224 886 biznese të regjistruara</t>
  </si>
  <si>
    <t>3% ne raport me vitin 2018</t>
  </si>
  <si>
    <t>5% ne raport me vitin 2018</t>
  </si>
  <si>
    <t>7% ne raport me vitin 2018</t>
  </si>
  <si>
    <t>Sherbimi nepermjet Call-center</t>
  </si>
  <si>
    <t>64 270 thirrje hyrese dhe dalese,komunikim live chat</t>
  </si>
  <si>
    <t>30% me shume nga 2018</t>
  </si>
  <si>
    <t>40% me shume nga 2018</t>
  </si>
  <si>
    <t>Sherbimi ndaj tatimpaguesve nepermjet vertetimeve te ndryshme</t>
  </si>
  <si>
    <t>158 905 kerkesa per vertetime te plotesuara</t>
  </si>
  <si>
    <t>40% me pak se viti 2018 per shkak te ndryshimeve ligjore mbi deklarimet online</t>
  </si>
  <si>
    <t>Produktet për Objektivin 2</t>
  </si>
  <si>
    <t>Produkti B</t>
  </si>
  <si>
    <t>Mbështetja e Biznesit</t>
  </si>
  <si>
    <t>Sigurimi i një shërbimi eficent dhe cilësor ndaj tatimpaguesve nëpërmjet fuqizimit, modernizimit dhe orientimit si duhet të strukturave përkatëse.</t>
  </si>
  <si>
    <r>
      <t xml:space="preserve">Detajimi i Kostos Totale të </t>
    </r>
    <r>
      <rPr>
        <b/>
        <sz val="8"/>
        <color rgb="FFFF0000"/>
        <rFont val="Garamond"/>
        <family val="1"/>
      </rPr>
      <t xml:space="preserve">Produktit B </t>
    </r>
    <r>
      <rPr>
        <b/>
        <sz val="8"/>
        <color theme="1"/>
        <rFont val="Garamond"/>
        <family val="1"/>
      </rPr>
      <t>sipas Artikujve Ekonomikë</t>
    </r>
  </si>
  <si>
    <t>M100447</t>
  </si>
  <si>
    <t>Përmirësimi i sistemit lidhur me deklarimin e TVSH tatimpaguesit BV në sistemin E-taxation sipas ligjit Nr.107 datë 30.11.2017 dhe VKM Nr.953, datë 29.12.2014</t>
  </si>
  <si>
    <r>
      <t xml:space="preserve">Detajimi i Kostos Totale të </t>
    </r>
    <r>
      <rPr>
        <b/>
        <sz val="8"/>
        <color rgb="FFFF0000"/>
        <rFont val="Garamond"/>
        <family val="1"/>
      </rPr>
      <t>Produktit B</t>
    </r>
    <r>
      <rPr>
        <b/>
        <sz val="8"/>
        <color theme="1"/>
        <rFont val="Garamond"/>
        <family val="1"/>
      </rPr>
      <t xml:space="preserve"> sipas Artikujve Ekonomikë</t>
    </r>
  </si>
  <si>
    <t>Kosto totale e produktit B</t>
  </si>
  <si>
    <t>M100448</t>
  </si>
  <si>
    <t>Fiscalizimi - Kasat Fiskale</t>
  </si>
  <si>
    <t xml:space="preserve">Produkti B </t>
  </si>
  <si>
    <t>Objektivi 3 i Politikës së Programit</t>
  </si>
  <si>
    <t>Implementimi efikas i legjislacionit tatimor dhe sigurimeve shoqërore, hetimi i rasteve të mashtrimit tatimor, zbatimi i strategjisë së përmbushjes së menaxhimit të riskut, përmirësimi i mëtejshëm i kontrollit tatimor dhe gjurmimi i mashtrimeve tatimore, mbledhja efikase dhe efektive e borxhit.</t>
  </si>
  <si>
    <t>Treguesit e Performancës për Objektivin 3</t>
  </si>
  <si>
    <t>Zbulime ne raport me kontrollet ndaj bizneseve</t>
  </si>
  <si>
    <t>2081 kontrolle me zbulueshmeri ne vlere 9 654 047 mije leke</t>
  </si>
  <si>
    <t>10% me shume nga viti 2018</t>
  </si>
  <si>
    <t>Kontrolli verifikimi ne terren /hetimi tatimor</t>
  </si>
  <si>
    <t>60 000 inspektime</t>
  </si>
  <si>
    <t>63 000 inspektime</t>
  </si>
  <si>
    <t>65 000 inspektime</t>
  </si>
  <si>
    <t>Produktet për Objektivin 3</t>
  </si>
  <si>
    <t>Produkti C</t>
  </si>
  <si>
    <t>Inspektimet  e Administratës Tatimore</t>
  </si>
  <si>
    <t>Strukturë hetimi dhe kontrolli tatimor e fuqizuar dhe e orientuar si duhet në përmbushjen e detyrave funksionale në standartet më te larta.</t>
  </si>
  <si>
    <t>Numër inspektimesh</t>
  </si>
  <si>
    <r>
      <t xml:space="preserve">Detajimi i Kostos Totale të </t>
    </r>
    <r>
      <rPr>
        <b/>
        <sz val="8"/>
        <color rgb="FFFF0000"/>
        <rFont val="Garamond"/>
        <family val="1"/>
      </rPr>
      <t>Produktit C</t>
    </r>
    <r>
      <rPr>
        <b/>
        <sz val="8"/>
        <color theme="1"/>
        <rFont val="Garamond"/>
        <family val="1"/>
      </rPr>
      <t xml:space="preserve"> sipas Artikujve Ekonomikë</t>
    </r>
  </si>
  <si>
    <t>Produkti D</t>
  </si>
  <si>
    <t>Strukturë Mbledhje e Borxhit Tatimor e fuqizuar</t>
  </si>
  <si>
    <t>Strukturë Mbledhje e Borxhit Tatimor e fuqizuar, e orientuar nga strategjia  institucionale për uljen e vlerave te borxhit</t>
  </si>
  <si>
    <t>Numër punonjesish</t>
  </si>
  <si>
    <r>
      <t xml:space="preserve">Detajimi i Kostos Totale të </t>
    </r>
    <r>
      <rPr>
        <b/>
        <sz val="8"/>
        <color rgb="FFFF0000"/>
        <rFont val="Garamond"/>
        <family val="1"/>
      </rPr>
      <t xml:space="preserve">Produktit D </t>
    </r>
    <r>
      <rPr>
        <b/>
        <sz val="8"/>
        <color theme="1"/>
        <rFont val="Garamond"/>
        <family val="1"/>
      </rPr>
      <t>sipas Artikujve Ekonomikë</t>
    </r>
  </si>
  <si>
    <t xml:space="preserve">Shënim: Shpjegoni supozimet dhe llogaritjet për Produktin 2 (Metoda 2) </t>
  </si>
  <si>
    <t>Ndryshimi në % i Subvencioneve</t>
  </si>
  <si>
    <t>Ndryshimi në % i Transfertave të brendshme</t>
  </si>
  <si>
    <t>Ndryshimi në % i Transfertave të jashtme</t>
  </si>
  <si>
    <t>Ndryshimi në % i Transfertave për familjet dhe individët</t>
  </si>
  <si>
    <t>231. Aktivet e trupëzuara</t>
  </si>
  <si>
    <t>Ndryshimi në % i Aktiveve të Trupëzuara</t>
  </si>
  <si>
    <t>Menaxhimi i të ardhurave Doganore</t>
  </si>
  <si>
    <t>Mbledhja dhe menaxhimi i të ardhurave doganore, lehtësimi i tregtisë së ligjshme dhe parandalimi e goditja e trafiqeve ilegale me qëllim rritjen e mirëqënies shoqërore.</t>
  </si>
  <si>
    <t>Menaxhimi  efektiv, efikas, i drejtë dhe transparent i të ardhurave doganore</t>
  </si>
  <si>
    <t xml:space="preserve">Mbledhja faktike e të ardhurave krahasuar  me parashikimet </t>
  </si>
  <si>
    <t xml:space="preserve">Krijimi i lehtesirave për operatorët ekonomik nëpërmjet lehtësimit dhe përshpejtimit të proçedurave doganore </t>
  </si>
  <si>
    <t>Rritja e numrit të deklaratave doganore të procesuara në kanalin BLU (në import)</t>
  </si>
  <si>
    <t>Rritja e numrit të deklaratave doganore të procesuara në kanalin Jeshil (në import)</t>
  </si>
  <si>
    <t>Rritja e numrit të deklaratave doganore të procesuara në kanalin Jeshil (në eksport)</t>
  </si>
  <si>
    <t>12</t>
  </si>
  <si>
    <t xml:space="preserve">Rritja e numrit të rasteve për rishikim vlerësimi doganor duke u bazuar në metodat e vlerësimit doganor për mallrat identikë dhe të ngjashëm </t>
  </si>
  <si>
    <t>Shkurtimi i kohës mesatare të shpenzuar për 1 zhdoganim sipas llojit të proçedurave doganore</t>
  </si>
  <si>
    <t>Rritja e numrit te AEO dhe eksportuesve të miratuar</t>
  </si>
  <si>
    <t>15-20%</t>
  </si>
  <si>
    <t>25-30%</t>
  </si>
  <si>
    <t xml:space="preserve">Deklarata doganore të proçesuara </t>
  </si>
  <si>
    <t>numër deklaratash</t>
  </si>
  <si>
    <t xml:space="preserve">Vendime Gjyqësore të Ekzekutuara </t>
  </si>
  <si>
    <t>Shlyerja  e detyrimeve ndaj vendimeve gjyqësore për ish punonjës të shërbimit doganor shqiptar si dhe ndaj shoqërive të ndryshme</t>
  </si>
  <si>
    <t>numër vendimesh</t>
  </si>
  <si>
    <t>M000000</t>
  </si>
  <si>
    <t xml:space="preserve">Pajisje Komjuterike ,licensa,softe </t>
  </si>
  <si>
    <t xml:space="preserve">Ne kete produkt përfshihen pajisjet elektronike,licensa,softe </t>
  </si>
  <si>
    <t xml:space="preserve">cope </t>
  </si>
  <si>
    <t>Kodi i Projektit të Investimeve</t>
  </si>
  <si>
    <t>Pajisje zyre</t>
  </si>
  <si>
    <t xml:space="preserve">Pajisje zyre </t>
  </si>
  <si>
    <t>Në këtë produkt janë përfshirë blerja e pajisjeve të zyrave</t>
  </si>
  <si>
    <t>copë</t>
  </si>
  <si>
    <t>Kosto totale e produktit 4</t>
  </si>
  <si>
    <t xml:space="preserve">Pajisje teknike </t>
  </si>
  <si>
    <t>Produkti 5</t>
  </si>
  <si>
    <t xml:space="preserve">Në këtë produkt janë përfshirë blerja dhe pajisjeve per Laboratoriin kimik doganor </t>
  </si>
  <si>
    <t>Detajimi i Kostos Totale të Produktit 5 sipas Artikujve Ekonomikë</t>
  </si>
  <si>
    <t>Kosto totale e produktit 5</t>
  </si>
  <si>
    <t>Ndërtime dhe Rikonstruksoione të  godinave e ambjenteve në të cilat ushtron veprimtarinë administrata doganore</t>
  </si>
  <si>
    <t>Produkti 6</t>
  </si>
  <si>
    <t xml:space="preserve">Godina  të ndërtuara dhe  rikonstruktuara </t>
  </si>
  <si>
    <t>m2</t>
  </si>
  <si>
    <t>Detajimi i Kostos Totale të Produktit 6 sipas Artikujve Ekonomikë</t>
  </si>
  <si>
    <t>Kosto totale e produktit 6</t>
  </si>
  <si>
    <t>Produkti 7</t>
  </si>
  <si>
    <t>Blerja e Modulit te NCTS</t>
  </si>
  <si>
    <t xml:space="preserve"> Sistem i Kompjuterizuar Kombëtar i Tranzitit plotësisht në përputhje me Sistemin e Ri të Kompjuterizuar të Tranzitit (NCTS) të Konventës së Përbashkët të BE-së</t>
  </si>
  <si>
    <t xml:space="preserve">modul </t>
  </si>
  <si>
    <t>Detajimi i Kostos Totale të Produktit 7 sipas Artikujve Ekonomikë</t>
  </si>
  <si>
    <t>Kosto totale e produktit 7</t>
  </si>
  <si>
    <t>Produkti 8</t>
  </si>
  <si>
    <t xml:space="preserve">Zhvillim Modulesh </t>
  </si>
  <si>
    <t>Nëpërmjet këtij produkti synohet të zhvillohen  Moduli i proçesimit të Deklaratave doganore , Moduli i Menaxhimit të Riskut, Moduli i manifestit, Moduli i deklarimit të Cashit</t>
  </si>
  <si>
    <t>Detajimi i Kostos Totale të Produktit 8 sipas Artikujve Ekonomikë</t>
  </si>
  <si>
    <t>Kosto totale e produktit 8</t>
  </si>
  <si>
    <t>Faza e dyte e Rebilitimit te PKK Morine Kukes si dhe ndertimit te PKK Hani i Hotit GM10022</t>
  </si>
  <si>
    <t>Produkti 9</t>
  </si>
  <si>
    <t>Pike doganore e rikonstruktuar si dhe pike doganore e re</t>
  </si>
  <si>
    <t>Ne kete produkt eshte perfshire Rikonstruksion i PKK Morine Kukes si dhe ndertimi i PKK Hani i Hotit i cili do te kryhet ne vijim te projektit IPA 2012 si dhe rimbursimi i Tvsh do te kryhet me fonde te buxheti te shtetit</t>
  </si>
  <si>
    <t>Detajimi i Kostos Totale të Produktit 9 sipas Artikujve Ekonomikë</t>
  </si>
  <si>
    <t>Kosto totale e produktit 9</t>
  </si>
  <si>
    <t>Kontrate binjakezimi per perafrimin e procedurave doganore dhe legjislacionit ne fushen e tarifes</t>
  </si>
  <si>
    <t>Produkti 10</t>
  </si>
  <si>
    <t xml:space="preserve">Projekt Binjakezimi per perafrimin e procedurave doganore dhe legjislacionit ne fushen e tarifes       </t>
  </si>
  <si>
    <t xml:space="preserve">Ne kete produkt eshte perfshire financimi i huaj qe perfiton ADSH nga projetkti i IPA 2013 si dhe bashkefinancimi nga buxheti i shtetit                  </t>
  </si>
  <si>
    <t>PROJEKT</t>
  </si>
  <si>
    <t>Detajimi i Kostos Totale të Produktit 10 sipas Artikujve Ekonomikë</t>
  </si>
  <si>
    <t>Kosto totale e produktit 10</t>
  </si>
  <si>
    <t xml:space="preserve">Kontrate sherbimi per Zhvillimin e Moduleve te ITMS (Sistemi i Menaxhimit te Integruar te Tarifes) totalisht te perputhshem me ITMS e BE-se.  </t>
  </si>
  <si>
    <t>Produkti 11</t>
  </si>
  <si>
    <t xml:space="preserve"> Zhvillimi I Moduleve te ITMS (Sistemi i Menaxhimit te Integruar te Tarifes) totalisht te perputhshem me ITMS e BE-se.</t>
  </si>
  <si>
    <t>Detajimi i Kostos Totale të Produktit 11 sipas Artikujve Ekonomikë</t>
  </si>
  <si>
    <t>Kosto totale e produktit 11</t>
  </si>
  <si>
    <t>Garantimi i sigurisë dhe i mbrojtjes kombëtarë nga: kontrabanda, trafiqet paligjshme, mallrat e ndaluara e fallsifikuara, evazioni fiskal etj.</t>
  </si>
  <si>
    <t xml:space="preserve">Rritja e arkëtimit  të të  ardhurave si rezultat inspektimeve dhe hetimeve doganore      </t>
  </si>
  <si>
    <t>Rritja e numrit të hetimeve proaktive</t>
  </si>
  <si>
    <t xml:space="preserve">Inspektime doganore te kryera </t>
  </si>
  <si>
    <t>Në këtë produkt janë përfshirë inspektimet që kryejne strukturat tona operative Antikontrabanda ,Antitrafiku  si dhe strukturat e Inteligjences operative</t>
  </si>
  <si>
    <t>numer rastesh</t>
  </si>
  <si>
    <t>Kosto totale e produktit 1 sipas artikujve ekonomikë</t>
  </si>
  <si>
    <t>Hetime Doganore te kryera</t>
  </si>
  <si>
    <t>Në këtë produkt përfshihen rastet e Hetimit që kryejnë strukturat e Administratës Doganore</t>
  </si>
  <si>
    <t xml:space="preserve">numër rastesh </t>
  </si>
  <si>
    <t>Kosto totale e produktit 2 sipas artikujve ekonomikë</t>
  </si>
  <si>
    <t>Shërbim skanimi</t>
  </si>
  <si>
    <t>Në këtë produkt është parashikuar pagesa e tarifës së shërbimit të skanimit tëkonteniereve e automjeteve të tjera në Republikën e Shqipërisë,miratuar me ligjin nr.123/2013</t>
  </si>
  <si>
    <t>numër vendesh</t>
  </si>
  <si>
    <t>Kosto totale e produktit 3 sipas artikujve ekonomikë</t>
  </si>
  <si>
    <t>Projekt i ri</t>
  </si>
  <si>
    <t xml:space="preserve">Motovedeta </t>
  </si>
  <si>
    <t>Blerje motovedeta</t>
  </si>
  <si>
    <t>Projekti DOGANAT 2020  GM10102</t>
  </si>
  <si>
    <t>Pjesmarrje ne aktivitete te organizuara jashte vendit</t>
  </si>
  <si>
    <t>Ne kete produkt perfshihet pjesmarrja e stafit te ADSH ne aktivitete ,brenda skemes dhe rregullavete Programit "Doganat 2020"</t>
  </si>
  <si>
    <t xml:space="preserve">projekt </t>
  </si>
  <si>
    <t>Totali i shpenzimeve të Programit sipas produkteve</t>
  </si>
  <si>
    <t>Totali i shpenzimeve të Programit sipas artikujve</t>
  </si>
  <si>
    <t>Lufta Kundër Transaksioneve Financiare Jo-Ligjore</t>
  </si>
  <si>
    <t>Kërkimi, marrja dhe  analizimi i informacionit financiar lidhur me të ardhurat që dyshohet se kanë origjinë kriminale si dhe të ardhura që dyshohet se do të shërbejnë për financimin  e aktiviteteve të mundshme terroriste dhe proçedimi i rasteve të pastrimit të parave dhe financimit të terrorizmit.Lufta kundër krimit te organizuar dhe financimit te terrorizmit, nëpërmjet masave të marra mbi pasuritë e vendosura në mënyrë të paligjshme.</t>
  </si>
  <si>
    <t>Thellimi dhe zgjerimi i punës parandaluese dhe luftës kundër pastrimit të parave dhe financimit të terrorizmit në Shqipëri nëpërmjet zbatimit me sukses të standarteve ndërkombëtare brënda vitit 2021. 2. Administrimi I pasurive te sekuestruara dhe te konfiskuara qe i jepen ne administrim AAPSK me Vendim Gjykate apo Urdher te Ministrit te Financave.</t>
  </si>
  <si>
    <t>1). Permiresimi i kuadrit ligjor në fushën e parandalimit të pastrimit të parave dhe financimit të terrorizmit  2). Monitorimi i përputhshmërisë ligjore të subjekteve raportuese të ligjit dhe rritja e numrit të subjekteve të trajnuara  3)Përpunimi eficent i informacionit financiar të marrë nëpërmjet Raporteve të Transaksioneve të Vlerave  dhe Raporteve të Aktiviteteve të Dyshimta me qëllim zhvillimin e kompletimin e dosjeve që lidhen me procesimin e aktiviteteve financiare kriminale  4). Zhvillimi dhe  përmirësimi i bashkëpunimit ndërinstitucional kombëtar e ndërkombëtar si dhe pregatitja e koordinimi i punës për bashkëpunimin me organizmat ndërkombëtare  5). Përmirësimi i legjislacionit në lidhje me administrimin e pasurive të sekuestruara dhe konfiskuara  6). Mirëadministrimi i pasurive të sekuestruara dhe të konfiskuara.  7). Perfundimi i procesit te administrimit te pasurive te konfiskuara me vendim te formes se prere</t>
  </si>
  <si>
    <t>Numer inspektimesh ne vend dhe ne distance</t>
  </si>
  <si>
    <t>Numer RTV&amp;RAD te analizuara</t>
  </si>
  <si>
    <t>Nr. I pasurive te sekuestruara</t>
  </si>
  <si>
    <t>Nr. i pasurive te konfiskuara</t>
  </si>
  <si>
    <t xml:space="preserve">Inspektime </t>
  </si>
  <si>
    <t>Inspektime ne vend dhe ne distance</t>
  </si>
  <si>
    <t xml:space="preserve">Numer </t>
  </si>
  <si>
    <r>
      <t xml:space="preserve">Detajimi i Kostos Totale të </t>
    </r>
    <r>
      <rPr>
        <b/>
        <sz val="8"/>
        <color indexed="10"/>
        <rFont val="Garamond"/>
        <family val="1"/>
      </rPr>
      <t>Produktit 1</t>
    </r>
    <r>
      <rPr>
        <b/>
        <sz val="8"/>
        <color indexed="8"/>
        <rFont val="Garamond"/>
        <family val="1"/>
      </rPr>
      <t xml:space="preserve"> sipas Artikujve Ekonomikë</t>
    </r>
  </si>
  <si>
    <t xml:space="preserve"> RTV&amp;RAD te analizuara</t>
  </si>
  <si>
    <t>RTV&amp;RAD te analizuara</t>
  </si>
  <si>
    <r>
      <t>Detajimi i Kostos Totale të</t>
    </r>
    <r>
      <rPr>
        <b/>
        <sz val="8"/>
        <color indexed="10"/>
        <rFont val="Garamond"/>
        <family val="1"/>
      </rPr>
      <t xml:space="preserve"> Produktit 2 </t>
    </r>
    <r>
      <rPr>
        <b/>
        <sz val="8"/>
        <color indexed="8"/>
        <rFont val="Garamond"/>
        <family val="1"/>
      </rPr>
      <t>sipas Artikujve Ekonomikë</t>
    </r>
  </si>
  <si>
    <t>Pasuri te sekuestruara</t>
  </si>
  <si>
    <r>
      <t xml:space="preserve">Detajimi i Kostos Totale të </t>
    </r>
    <r>
      <rPr>
        <b/>
        <sz val="8"/>
        <color indexed="10"/>
        <rFont val="Garamond"/>
        <family val="1"/>
      </rPr>
      <t>Produktit 3</t>
    </r>
    <r>
      <rPr>
        <b/>
        <sz val="8"/>
        <color indexed="8"/>
        <rFont val="Garamond"/>
        <family val="1"/>
      </rPr>
      <t xml:space="preserve"> sipas Artikujve Ekonomikë</t>
    </r>
  </si>
  <si>
    <t xml:space="preserve">Pasuri te konfiskuara </t>
  </si>
  <si>
    <r>
      <t xml:space="preserve">Detajimi i Kostos Totale të </t>
    </r>
    <r>
      <rPr>
        <b/>
        <sz val="8"/>
        <color indexed="10"/>
        <rFont val="Garamond"/>
        <family val="1"/>
      </rPr>
      <t xml:space="preserve">Produktit 4 </t>
    </r>
    <r>
      <rPr>
        <b/>
        <sz val="8"/>
        <color indexed="8"/>
        <rFont val="Garamond"/>
        <family val="1"/>
      </rPr>
      <t>sipas Artikujve Ekonomikë</t>
    </r>
  </si>
  <si>
    <t xml:space="preserve">Mbështetje për zhvillimin ekonomik </t>
  </si>
  <si>
    <t>Programi  ka   për qëllim t'i shërbejë;  krijimit të një klime pozitive për zhvillimin e biznesit, për krijimin e vendeve të reja të punës, reduktimit të informalitetit në ekonomi, krijimit të një mjedisi konkurrues për zhvillimin e investimeve, krijimit të kushteve të barabarta për konkurrence si dhe një treg të sigurtë për konsumatorin; përmirësimin e cilësisë se menaxhimit  dhe performances ekonomike të shoqërive  tregtare , krijimit të  një sistemi qe garanton  realizimin e detyrimeve kontraktore ndermjet bizneseve .</t>
  </si>
  <si>
    <t>Rritja e financimit  të SME-ve nëpërmjet  fondeve dhe programeve me kontributin e qeverisë dhe donatorëve, krijimi  i  instrumentave dhe programeve mbështetëse për sektorët prodhues të SME-ve që paraqesin avantazhe konkurruese, për hartimin e politikave, kuadrit ligjor dhe institucional në mbështetje të zhvillimit të sipërmarrjes dhe investimeve, për rritjen dhe zgjerimin e aktiviteteve në fushën e trajnimit dhe edukimit profesional.</t>
  </si>
  <si>
    <t xml:space="preserve">Projekte koncesioni/PPP te Asistuara </t>
  </si>
  <si>
    <t>% e realizimit te Planit mbi disbursimin e parashkuar</t>
  </si>
  <si>
    <t>Emërtimi i Treguesit x (shto tregues sipas rastit)</t>
  </si>
  <si>
    <t xml:space="preserve">Rritja e konkurrueshmerise se ekonomise ne tregun rajonal nepermjet dhenies së fondeve grant.  </t>
  </si>
  <si>
    <t>Asistenca ne fazen e Studimit te Fizibilitetit per Projekte Koncesioni / PPP</t>
  </si>
  <si>
    <t>Hartimi i Dokumentave te Tenderit per Projekte Koncesioni / PPP</t>
  </si>
  <si>
    <t>Vleresimi i ofertave per Projektet e Koncesionit/PPP</t>
  </si>
  <si>
    <t xml:space="preserve">Negocimi i Kontrates se Koncesionit / PPP </t>
  </si>
  <si>
    <t xml:space="preserve"> Studime Fizibiliteti per Projekte Koncesione/PPP
</t>
  </si>
  <si>
    <t>Pjesemarrje ne Komisionin e Koncesionit/PPP per hartimin e studimeve te fizibilitetit</t>
  </si>
  <si>
    <t xml:space="preserve">Numer takimesh (mbledhje)  per asistence te projektit </t>
  </si>
  <si>
    <t>Dokumenta Tenderi per proceduren konkuruese Koncesion/PPP</t>
  </si>
  <si>
    <t>Pjesemarrje ne Komisionin e Koncesionit/PPP per hartimin e dokumentave te tenderit te procedures konkuruese</t>
  </si>
  <si>
    <t>Numer takimesh (mbledhje)  ne Komisionin e koncesionit/PPP</t>
  </si>
  <si>
    <r>
      <t>Detajimi i Kostos Totale të</t>
    </r>
    <r>
      <rPr>
        <b/>
        <sz val="8"/>
        <color rgb="FFFF0000"/>
        <rFont val="Garamond"/>
        <family val="1"/>
      </rPr>
      <t xml:space="preserve"> Produktit 2 </t>
    </r>
    <r>
      <rPr>
        <b/>
        <sz val="8"/>
        <color theme="1"/>
        <rFont val="Garamond"/>
        <family val="1"/>
      </rPr>
      <t>sipas Artikujve Ekonomikë</t>
    </r>
  </si>
  <si>
    <t xml:space="preserve">Shpallja e Ofertesit fitues per Projekte Koncesione/PPP
</t>
  </si>
  <si>
    <t>Pjesemarrje ne Komisionin e Koncesionit/PPP per vleresimin e ofertave dhe shpalljen e ofertuesit fitues per proceduren konkurruese.</t>
  </si>
  <si>
    <t xml:space="preserve">Numer takimesh (mbledhje)  per vleresimin e ofertave dhe shpalljen e fituesit </t>
  </si>
  <si>
    <r>
      <t>Detajimi i Kostos Totale të</t>
    </r>
    <r>
      <rPr>
        <b/>
        <sz val="8"/>
        <color rgb="FFFF0000"/>
        <rFont val="Garamond"/>
        <family val="1"/>
      </rPr>
      <t xml:space="preserve"> Produktit 3 </t>
    </r>
    <r>
      <rPr>
        <b/>
        <sz val="8"/>
        <color theme="1"/>
        <rFont val="Garamond"/>
        <family val="1"/>
      </rPr>
      <t>sipas Artikujve Ekonomikë</t>
    </r>
  </si>
  <si>
    <t xml:space="preserve">Kontrata koncesioni/PPP te negociuara 
</t>
  </si>
  <si>
    <t>Pjesemarrje ne Komisionin e Koncesionit/PPP per negocimin e kontrates se Koncesionit/PPP</t>
  </si>
  <si>
    <t>Numer takimesh (mbledhje)  per negocimin e kontrates</t>
  </si>
  <si>
    <r>
      <t>Detajimi i Kostos Totale të</t>
    </r>
    <r>
      <rPr>
        <b/>
        <sz val="8"/>
        <color rgb="FFFF0000"/>
        <rFont val="Garamond"/>
        <family val="1"/>
      </rPr>
      <t xml:space="preserve"> Produktit 4 </t>
    </r>
    <r>
      <rPr>
        <b/>
        <sz val="8"/>
        <color theme="1"/>
        <rFont val="Garamond"/>
        <family val="1"/>
      </rPr>
      <t>sipas Artikujve Ekonomikë</t>
    </r>
  </si>
  <si>
    <t>xxxxx</t>
  </si>
  <si>
    <t>Produkti X (shto produkte sipas rastit)</t>
  </si>
  <si>
    <r>
      <t xml:space="preserve">Detajimi i Kostos Totale të </t>
    </r>
    <r>
      <rPr>
        <b/>
        <sz val="8"/>
        <color rgb="FFFF0000"/>
        <rFont val="Garamond"/>
        <family val="1"/>
      </rPr>
      <t>Produktit X</t>
    </r>
    <r>
      <rPr>
        <b/>
        <sz val="8"/>
        <color theme="1"/>
        <rFont val="Garamond"/>
        <family val="1"/>
      </rPr>
      <t xml:space="preserve"> sipas Artikujve Ekonomikë</t>
    </r>
  </si>
  <si>
    <t xml:space="preserve">Rritja e transparences ne procedurat e koncesionit/PPP </t>
  </si>
  <si>
    <t>Treguesit e Performancës për Objektivin 2: Publikimi ne Regjistrin Elektronik te Koncesioneve/PPP te te gjithe kontratave te nenshkruara</t>
  </si>
  <si>
    <t>Perditesimi i Regjistrit Elektronik te Koncesioneve/PPP</t>
  </si>
  <si>
    <t>Emërtimi i Treguesit 2</t>
  </si>
  <si>
    <t>Kontrata Koncesioni/PPP te publikuara ne Regjistrin Elektronik te Koncesioneve</t>
  </si>
  <si>
    <t xml:space="preserve"> Autoritetet Kontraktore percjellin prane ATRAKO-s  per publikim kontratat e Koncesionit/PPP, 15 dite pas nenshkrimit te tyre. </t>
  </si>
  <si>
    <t xml:space="preserve">Numri i kontratave </t>
  </si>
  <si>
    <r>
      <t xml:space="preserve">Detajimi i Kostos Totale të </t>
    </r>
    <r>
      <rPr>
        <b/>
        <sz val="8"/>
        <color rgb="FFFF0000"/>
        <rFont val="Garamond"/>
        <family val="1"/>
      </rPr>
      <t xml:space="preserve">Produktit 1 </t>
    </r>
    <r>
      <rPr>
        <b/>
        <sz val="8"/>
        <color theme="1"/>
        <rFont val="Garamond"/>
        <family val="1"/>
      </rPr>
      <t>sipas Artikujve Ekonomikë</t>
    </r>
  </si>
  <si>
    <t>Nxitja e investimeve të huaja direkte (IHD)</t>
  </si>
  <si>
    <t>Investime te huaja/Leads të ndjekura (tregues cilësor, trajtimi i të gjitha kërkesave)</t>
  </si>
  <si>
    <t>Investime strategjike/Projekte të trajtuara (tregues cilësor, trajtimi i të gjitha kërkesave)</t>
  </si>
  <si>
    <t>After care/ vizita ne kompani</t>
  </si>
  <si>
    <t xml:space="preserve">Shpenzimet Korrente* </t>
  </si>
  <si>
    <t>Promovimi i shqiperise si destinacion investimesh / kujdesi ndaj investitoreve</t>
  </si>
  <si>
    <t>pjesemarrje panair nderkombetare &amp; road show promovuese, vizita ne kompani (after care)/ monitorim investimesh strategjike</t>
  </si>
  <si>
    <t>Numer Aktivitetesh</t>
  </si>
  <si>
    <t>Ndryshimi në % i Pagave si pasojë e ndryshimit të kostos së produktit</t>
  </si>
  <si>
    <r>
      <t>Ndryshimi në % i Pagave si pasojë e ndryshimit të sasisë së produktit</t>
    </r>
    <r>
      <rPr>
        <b/>
        <i/>
        <sz val="9"/>
        <color rgb="FFFF0000"/>
        <rFont val="Garamond"/>
        <family val="1"/>
      </rPr>
      <t>**</t>
    </r>
  </si>
  <si>
    <t>Ndryshimi në % i Sigurimeve Shoqerore dhe Shendetësore si pasojë e ndryshimit të kostos së produktit</t>
  </si>
  <si>
    <r>
      <t>Ndryshimi në % i Sigurimeve Shoqërore dhe Shendetësore si pasojë e ndryshimit të sasisë së produktit</t>
    </r>
    <r>
      <rPr>
        <b/>
        <i/>
        <sz val="9"/>
        <color rgb="FFFF0000"/>
        <rFont val="Garamond"/>
        <family val="1"/>
      </rPr>
      <t>**</t>
    </r>
  </si>
  <si>
    <t>Ndryshimi në % i Mallrave dhe Shërbimeve si pasojë e ndryshimit të kostos së produktit</t>
  </si>
  <si>
    <r>
      <t>Ndryshimi në % i Mallrave dhe Shërbimeve si pasojë e ndryshimit të sasisë së produktit</t>
    </r>
    <r>
      <rPr>
        <b/>
        <i/>
        <sz val="9"/>
        <color rgb="FFFF0000"/>
        <rFont val="Garamond"/>
        <family val="1"/>
      </rPr>
      <t>**</t>
    </r>
  </si>
  <si>
    <t>Ndryshimi në % i Subvencioneve si pasojë e ndryshimit të kostos së produktit</t>
  </si>
  <si>
    <r>
      <t>Ndryshimi në % i Subvencioneve si pasojë e ndryshimit të sasisë së produktit</t>
    </r>
    <r>
      <rPr>
        <b/>
        <i/>
        <sz val="9"/>
        <color rgb="FFFF0000"/>
        <rFont val="Garamond"/>
        <family val="1"/>
      </rPr>
      <t>**</t>
    </r>
  </si>
  <si>
    <t>Ndryshimi në % i Transfertave të brendshme si pasojë e ndryshimit të kostos së produktit</t>
  </si>
  <si>
    <r>
      <t>Ndryshimi në % i Transfertave të brendshme si pasojë e ndryshimit të sasisë së produktit</t>
    </r>
    <r>
      <rPr>
        <b/>
        <i/>
        <sz val="9"/>
        <color rgb="FFFF0000"/>
        <rFont val="Garamond"/>
        <family val="1"/>
      </rPr>
      <t>**</t>
    </r>
  </si>
  <si>
    <t>Ndryshimi në % i Transfertave të jashtme si pasojë e ndryshimit të kostos së produktit</t>
  </si>
  <si>
    <r>
      <t>Ndryshimi në % i Transfertave të jashtme si pasojë e ndryshimit të sasisë së produktit</t>
    </r>
    <r>
      <rPr>
        <b/>
        <i/>
        <sz val="9"/>
        <color rgb="FFFF0000"/>
        <rFont val="Garamond"/>
        <family val="1"/>
      </rPr>
      <t>**</t>
    </r>
  </si>
  <si>
    <t>Ndryshimi në % i Transfertave për familjet dhe individët si pasojë e ndryshimit të kostos së produktit</t>
  </si>
  <si>
    <r>
      <t>Ndryshimi në % i Transfertave për familjet dhe individët si pasojë e ndryshimit të sasisë së produktit</t>
    </r>
    <r>
      <rPr>
        <b/>
        <i/>
        <sz val="9"/>
        <color rgb="FFFF0000"/>
        <rFont val="Garamond"/>
        <family val="1"/>
      </rPr>
      <t>**</t>
    </r>
  </si>
  <si>
    <r>
      <t>Shënim: Shpjegoni supozimet dhe llogaritjet për Produktin 1 (Metoda 2)</t>
    </r>
    <r>
      <rPr>
        <b/>
        <sz val="8"/>
        <color rgb="FFFF0000"/>
        <rFont val="Garamond"/>
        <family val="1"/>
      </rPr>
      <t>***</t>
    </r>
  </si>
  <si>
    <t>Nxitja e eksporteve dhe rritjes se konkurrueshmerise se SME-ve nepermjet promovimit te eksporteve,ofrimit te sherbimeve mbeshtetese dhe suportit financiar me ane te granteve.</t>
  </si>
  <si>
    <t>Numri i aktiviteteve promovese (panaire,forume,B2B, "Info Day" )</t>
  </si>
  <si>
    <t>Numri I kompanive aplikuese</t>
  </si>
  <si>
    <t>Numri I kompanive perfituese</t>
  </si>
  <si>
    <t>% e realizimit te fondeve</t>
  </si>
  <si>
    <t>Zgjerim i databases se eksporteve (numri I profileve)</t>
  </si>
  <si>
    <t>Aktivitete promovuese te AIDA-s dhe te Produkteve "Made in Albania"</t>
  </si>
  <si>
    <t>Aktivitete promovuese te fondeve dhe te sherbimeve qe ofron AIDA, dhe te produkteve shqiptare ne tregjet e huaja (ketu perfshihen  fushatat promovuese qe behen per te njohur SME-te vendase me fondet dhe sherbimet e AIDA-s, Panairet nderkombetare ne te cilat AIDA suporton financiarisht pjesmarrjen e SME-ve shqiptare , B2B dhe forumet e biznesit qe ndermjetesojne kontaktin e SME-ve vendase me kompani te huaja, me qellim zgjerimin e tregjeve te eksportit.</t>
  </si>
  <si>
    <t>Ndryshimi në % i Pagave si pasojë e ndryshimit të sasisë së produktit</t>
  </si>
  <si>
    <t>Ndryshimi në % i Sigurimeve Shoqërore dhe Shendetësore si pasojë e ndryshimit të sasisë së produktit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</si>
  <si>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</si>
  <si>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</si>
  <si>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</si>
  <si>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</si>
  <si>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</si>
  <si>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M100368</t>
  </si>
  <si>
    <t>Fondi I konkurrueshmerishe</t>
  </si>
  <si>
    <t xml:space="preserve">Ky fond synon suportimin e SME-ve vendase me qellim rritjen e konkurueshmerise </t>
  </si>
  <si>
    <t>Sasia (nr I kompanive perfituese)</t>
  </si>
  <si>
    <t>M100369</t>
  </si>
  <si>
    <t>Produkti 3 (shto produkte sipas rastit)</t>
  </si>
  <si>
    <t>Fondi  i Inovacionit</t>
  </si>
  <si>
    <t>Ky fond synon mbeshtetjen financiare te SME-ve ne fushen e teknologjise dhe inovacionit</t>
  </si>
  <si>
    <t>% e fondit te realizuar</t>
  </si>
  <si>
    <r>
      <t xml:space="preserve">Detajimi i Kostos Totale të </t>
    </r>
    <r>
      <rPr>
        <b/>
        <sz val="8"/>
        <color rgb="FFFF0000"/>
        <rFont val="Garamond"/>
        <family val="1"/>
      </rPr>
      <t xml:space="preserve">Produktit 3 </t>
    </r>
    <r>
      <rPr>
        <b/>
        <sz val="8"/>
        <color theme="1"/>
        <rFont val="Garamond"/>
        <family val="1"/>
      </rPr>
      <t>sipas Artikujve Ekonomikë</t>
    </r>
  </si>
  <si>
    <t>Shenim:shpjegoni supozimet dhe llogaritjet per produktin x</t>
  </si>
  <si>
    <t>M100370</t>
  </si>
  <si>
    <t>Fondi "Start Up"</t>
  </si>
  <si>
    <t>Ky fond ka ne fokus  mbeshtetjen e sipermarrjeve te reja me qellim konsolidimin e tyre ne treg dhe rritjen e numrit te punonjesve</t>
  </si>
  <si>
    <r>
      <t xml:space="preserve">Detajimi i Kostos Totale të </t>
    </r>
    <r>
      <rPr>
        <b/>
        <sz val="8"/>
        <color rgb="FFFF0000"/>
        <rFont val="Garamond"/>
        <family val="1"/>
      </rPr>
      <t>Produktit 4</t>
    </r>
    <r>
      <rPr>
        <b/>
        <sz val="8"/>
        <color theme="1"/>
        <rFont val="Garamond"/>
        <family val="1"/>
      </rPr>
      <t xml:space="preserve"> sipas Artikujve Ekonomikë</t>
    </r>
  </si>
  <si>
    <t>M100371</t>
  </si>
  <si>
    <t>Fondi ne mbeshtetje te biznesit kreativ</t>
  </si>
  <si>
    <t>Ky fond ka ne fokus  mbeshtetjen e sipermarrjeve te sektorit te artizanatit dhe zejtarise  me qellim konsolidimin e tyre ne treg dhe rritjen e numrit te te punesuarve  ne kete sektor.</t>
  </si>
  <si>
    <r>
      <t xml:space="preserve">Detajimi i Kostos Totale të </t>
    </r>
    <r>
      <rPr>
        <b/>
        <sz val="8"/>
        <color rgb="FFFF0000"/>
        <rFont val="Garamond"/>
        <family val="1"/>
      </rPr>
      <t xml:space="preserve">Produktit 5 </t>
    </r>
    <r>
      <rPr>
        <b/>
        <sz val="8"/>
        <color theme="1"/>
        <rFont val="Garamond"/>
        <family val="1"/>
      </rPr>
      <t>sipas Artikujve Ekonomikë</t>
    </r>
  </si>
  <si>
    <t>Ofrimi i sherbimit ndaj subjekteve per regjistrimin dhe licencimin/lejimin e biznesit</t>
  </si>
  <si>
    <t>Regjistrimi dhe Licensimi I bizneseve</t>
  </si>
  <si>
    <t>% e kategorive te sherbimeve qe ofron sistemi I Regjistrit te Biznesit</t>
  </si>
  <si>
    <t>% e kategorive te sherbimeve qe ofron sistemi I Regjistrit te Licencave</t>
  </si>
  <si>
    <t>Aplikime në Regjistrin e Biznesit</t>
  </si>
  <si>
    <t>Rregjistrim i ri Biznesi, crregjistrim, dorëzim bilancesh, nxjerrje ekstraktesh, ndryshime, etj</t>
  </si>
  <si>
    <r>
      <rPr>
        <b/>
        <sz val="8"/>
        <color rgb="FFFF0000"/>
        <rFont val="Garamond"/>
        <family val="1"/>
      </rPr>
      <t>Produkti 2</t>
    </r>
    <r>
      <rPr>
        <sz val="8"/>
        <color theme="1"/>
        <rFont val="Garamond"/>
        <family val="1"/>
      </rPr>
      <t xml:space="preserve"> (shto produkte sipas rastit)</t>
    </r>
  </si>
  <si>
    <t>Aplikime në Licensimin e Biznesit</t>
  </si>
  <si>
    <t>Aplikime per licenda te reja, ndryshime, revokime, printime, shtyrje afati</t>
  </si>
  <si>
    <r>
      <t>Detajimi i Kostos Totale të</t>
    </r>
    <r>
      <rPr>
        <b/>
        <sz val="8"/>
        <color rgb="FFFF0000"/>
        <rFont val="Garamond"/>
        <family val="1"/>
      </rPr>
      <t xml:space="preserve"> Produktit X </t>
    </r>
    <r>
      <rPr>
        <b/>
        <sz val="8"/>
        <color theme="1"/>
        <rFont val="Garamond"/>
        <family val="1"/>
      </rPr>
      <t>sipas Artikujve Ekonomikë</t>
    </r>
  </si>
  <si>
    <t>M100475</t>
  </si>
  <si>
    <t>Autoveturë</t>
  </si>
  <si>
    <t>Mjet transporti për nevojat e institucionit</t>
  </si>
  <si>
    <t>I jemi referuar cmimit te tregut per blerje automjeti per nevoja te institucionit</t>
  </si>
  <si>
    <t>Krijimi i moduleve të reja dhe i raportimeve për Formularet e Bashkimit Ndërkufitar</t>
  </si>
  <si>
    <t>Emërtimi i Treguesit 1</t>
  </si>
  <si>
    <t>Mbeshtetje per Mbikq.e Tregut, Infrast. e Ciles. dhe Pron. Industr.</t>
  </si>
  <si>
    <t xml:space="preserve">04160  </t>
  </si>
  <si>
    <t>Pajisje informatike</t>
  </si>
  <si>
    <t>Fotokopjuse,kompjuter, Laptop</t>
  </si>
  <si>
    <t>cope</t>
  </si>
  <si>
    <t>M100463</t>
  </si>
  <si>
    <t>Blerje automjet (autoveturë) për Dpm-në</t>
  </si>
  <si>
    <t>Autoveturë  për Dpm-në</t>
  </si>
  <si>
    <t>M100495</t>
  </si>
  <si>
    <t>Pisje Laboratorike</t>
  </si>
  <si>
    <t xml:space="preserve">Sensor për matjen e temperaturës dhe sensor lagështie për ambjentet e mbyllura. </t>
  </si>
  <si>
    <t>1- Meter shirit 50m dhe 100 m, 2- Aparat per matjen e trasghesise se llamarinave (2019)  1-Paisje me dy sonda Pt 100 per matje te temperatures dhe lageshtires me dy sonda, te tipit K dhe nje te tipit  1 , 2-Gjenerator  sinjali, 3- Oshiloskop me kater kanale bashke me sensoret, 4-  Blerje Autolaborator gazi standart per verifimkimin periodik te shperndaresve te LPG te automjeteve. ( 2020 )</t>
  </si>
  <si>
    <t>ÇERTIFIKIMI SIPAS STANDARTEVE TE OVK</t>
  </si>
  <si>
    <t>DOSJE</t>
  </si>
  <si>
    <r>
      <rPr>
        <b/>
        <sz val="8"/>
        <color rgb="FFFF0000"/>
        <rFont val="Garamond"/>
        <family val="1"/>
      </rPr>
      <t xml:space="preserve">Produkti 2 </t>
    </r>
    <r>
      <rPr>
        <sz val="8"/>
        <color theme="1"/>
        <rFont val="Garamond"/>
        <family val="1"/>
      </rPr>
      <t xml:space="preserve"> (shto produkte sipas rastit)</t>
    </r>
  </si>
  <si>
    <t>Rishikim I dokumentacionit</t>
  </si>
  <si>
    <t>Ndergjegjesimi I operatoreve ekonomik, konsumatoreve dhe paleve te tjera te interesuara</t>
  </si>
  <si>
    <t>COPE</t>
  </si>
  <si>
    <t>Perdorirmi i standardeve bashkekohore nga institucionet publike dhe sipermarrjet private me qellim ritjen e nivelit te sigurise se produkteve dhe sherbimeve ne mbrojtje te jetes dhe shendetit te qytetareve e njekohesisht rritjen e aksesit te produketeve e sherbimeve shqiptare ne tregjet evropiane e nderkombetare</t>
  </si>
  <si>
    <t xml:space="preserve">
Adoptimi i standardeve europiane dhe nderkombetare si standarde shqiptare te publikuara nga CEN/CENELEC, ISO, ETSI, IEC perkatesisht ne masen 100%; 27% ;  87%; dhe 24%</t>
  </si>
  <si>
    <t>Standarde te shitura</t>
  </si>
  <si>
    <t>Standarde evropiane dhe nderkombetare evropiane dhe nderkombetare te adaptuara, miratuara, shfuqizuara  si SSH</t>
  </si>
  <si>
    <t>Organizimi i mbledhjeve te Komiteteve Teknike (KT) per adaptimin, shfuqizimin dhe miratimin e standardeve</t>
  </si>
  <si>
    <t>Nr . standardesh</t>
  </si>
  <si>
    <t>Standarde te shitura dhe perkthimi i tyre ne fushat prioritare</t>
  </si>
  <si>
    <t>Informimi, promovimi e ndergjegjesimi per perdorimin e standardeve. Pergatitja e publikimi i buletineve periodike, katalogut te standardeve,  organizimi i eventeve promovuese, takimeve,  direkt me biznese e institucioneInformimi, promovimi e ndergjegjesimi per perdorimin e standardeve. Pergatitja e publikimi i buletineve periodike, katalogut te standardeve,  organizimi i eventeve promovuese, takimeve,  direkt me biznese e institucione</t>
  </si>
  <si>
    <t>Blerje pajisje kompjuterike dhe serveri</t>
  </si>
  <si>
    <t xml:space="preserve">Standarde evropiane dhe nderkombetare te adaptuara, miratuara, shfuqizuara  si SSH  </t>
  </si>
  <si>
    <t>Produkti 2 (shto produkte sipas rastit)</t>
  </si>
  <si>
    <t xml:space="preserve">Standarde te shitura dhe perkthimi i tyre ne fushat prioritare prioritare </t>
  </si>
  <si>
    <t>Realizim inspektimesh per kontrollin e zbatimit te kritereve ligjore nga operatorët ekonomik</t>
  </si>
  <si>
    <t xml:space="preserve">Zbatimi i kërkesave ligjore nga subjektet  konform legjislacionit në fuqi për metrologjinë, sigurinë e produkteve joushqimore, turizimin, pronësinë intelektuale </t>
  </si>
  <si>
    <t>Numri i inspektimeve në Republikën e Shqipërisë</t>
  </si>
  <si>
    <t>Numri i inspektimeve</t>
  </si>
  <si>
    <t>numër inspektmesh</t>
  </si>
  <si>
    <t>Realizim inspektimesh në të gjithë territorin e Shqiperisë për kontrollin e zbatimit të kërkesave ligjore nga operatoët ekonomikë.</t>
  </si>
  <si>
    <t>numër</t>
  </si>
  <si>
    <t>M100227</t>
  </si>
  <si>
    <t>blerje makine</t>
  </si>
  <si>
    <t>Makine per inspektime ne terren</t>
  </si>
  <si>
    <t>Blerje pajisje kompjuterike</t>
  </si>
  <si>
    <t>Kompjutera, printera, fotokopje, USB, Router, sëitch, projektor, etj.</t>
  </si>
  <si>
    <t>numwr</t>
  </si>
  <si>
    <t>M100464</t>
  </si>
  <si>
    <t>Rikonstruksion ambiente ISHMT</t>
  </si>
  <si>
    <t>Instalime elektrike, hidraulike, suvatime, vendosje dyersh e dritaresh, hidroizolime</t>
  </si>
  <si>
    <t>M100462</t>
  </si>
  <si>
    <t>Produkti 4 (shto produkte sipas rastit)</t>
  </si>
  <si>
    <t>Blerje pajisje (mobilim zyre)</t>
  </si>
  <si>
    <t>Tavolina pune, karrike, etazhere, dollape, varese rrobash, kolltuqe, kasaforte, etj.</t>
  </si>
  <si>
    <t>M100465</t>
  </si>
  <si>
    <t>Produkti 5 (shto produkte sipas rastit)</t>
  </si>
  <si>
    <t>Blerje kite laboratorike</t>
  </si>
  <si>
    <t xml:space="preserve">Analizues kimik per kontrollin e lodrave, autolaborator për kontrollin e matësve të ujit , peshore, anakuzues kimike, </t>
  </si>
  <si>
    <t>Tregu I punes</t>
  </si>
  <si>
    <t>10550</t>
  </si>
  <si>
    <t xml:space="preserve">Nxitja e mundësive për punë të denjë dhe rritja e punësueshmërisë së forcave të punës nëpërmjet politikave të frytshme të tregut të punës si dhe nepermjet, perputhjes se kerkeses me oferten per pune nga sherbimet e punesimit ku perfshihen: informacioni per vendet e lira te punes; ndermjetesimi per punesim; keshillimi dhe orientimi per karriere; programet e nxitjes se punesimit; mbeshtetjes me te ardhura per te papunet nepermjet pageses se papunesise; programet e formimit profesional. Ofrimi formimit profesional cilesor. Nxitja e përfshirjes sociale dhe e kohezionit territorial. Fuqizimi i qeverisjes së tregut të punës dhe i sistemeve   të kualifikimeve. </t>
  </si>
  <si>
    <t>Riorganizimi i 15 zyrave te SHKP sipas Modelit të Ri të Shërbimeve të Punësimit, Permiresimi i fushes se shërbimeve të punësimit (te ndemjetsimeve, keshillimeve dhe orientimit per karriere,) targetimi i grupeve ne nevoje te te papuneve. Rishikimi i bazes ligjore te punesimit dhe migrimit me qellim reformimin e qeverisjes se tregut te punes dhe perafrimit te tij me aktet e bBE-se. Aktivizimin e  përfituesve të ndihmës ekonomike dhe personave që dalin nga kjo skemë, duke synuar formimin dhe punësimin e  6500-7000 individëve për  vitin 2018. Rritja e pjesmarrjes se punekerkuesve te papune nga grupet e vecanta me mbi 50% te totalit te perfituesve nga programet e nxitjes së punësimit  (femrat, të rinjtë 16-30 vjeç, emigrantët e kthyer me probleme ekonomike, të papunët afatgjatë, romët, personat me aftësi të kufizuar, jetimët, gra kryfamiljare si dhe integrimin në këto programe të punëkërkuesve të papunë që trajtohen me ndihmë ekonomike dhe pagesë papunësie. Hartimi i programeve te reja ne zbatim te ligjit te ri "Per nxitjen e punesimit". Ofrimi i formimit profesional cilësor për të rinjtë dhe të rriturit , ne perputhje me kerkesat e tregut te punes, rritja e mundesise per te nxenit gjate gjithe jetes si per burrat dhe per grate dhe pershtatja me mundesite e punesimit te ofruara nga tregu i punes. Përafrimin e standarteve të Konvetës nr. 168 të ILO-s për mbrojtjen nga papunësia,  duke arritur  masen e pageses se te ardhures nga papunesia ne 50% te pages minimale ne shkalle vendi.</t>
  </si>
  <si>
    <t>Punekerkues te punesuar/trajnuar nga programi nepermjet formimit  ne pune ( vkm 47)</t>
  </si>
  <si>
    <t>Punekerkues te punesuar nga programi i nxitjes se punesimit per grupet e vecanta (vkm 48)</t>
  </si>
  <si>
    <t>Punekerkues te perfshire ne programin i nxitjes se punesimit te praktikave profesionale, per te rinjte e sapodiplomuar, qe kane mbaruar arsimin e larte (vkm 873)</t>
  </si>
  <si>
    <t>Punekerkuese te punesuara nga programi i nxitjes se punesimit per grate kryefamiljare me fëmijë në ngarkim dhe vajzave nëna (VKM 27)</t>
  </si>
  <si>
    <t>Punekerkues te punesuar nga programi i nxitjes së punësimit të punёkёrkuesve të papunë të rinj (VKM 199)</t>
  </si>
  <si>
    <t>Te punesuar/trajnuar nga  programi i nxitjes se punesimit per personat me aftesi  te kufizuara (vkm 248)</t>
  </si>
  <si>
    <t>Punekerkues te punesuar nga programi i nxitjes së punësimit të të rinjve që kanë fituar statusin e jetimit (VKM 64)</t>
  </si>
  <si>
    <t>Te trajnuar nepermjet programit te nxitjes së punësimit "Për pagesën e pjesëmarrjes në kurset e formimit profesional" (vkm 162)</t>
  </si>
  <si>
    <t>Leje pune  per te huajt</t>
  </si>
  <si>
    <t>Raporte te ndryshme per: PKIE, Prioriteti 5, statistikore, finaciare, procese prokurimi, auditimi etj.</t>
  </si>
  <si>
    <t>Ndermjetesimet e realizuara nga Zyrat e punesimit</t>
  </si>
  <si>
    <t>Zyra Punësimi, sipas Modelit te ri te sherbimeve te punesimit, reforme e cila ka per qëllim përmirësimin e shërbimeve ndaj klientëve ( të papunëve dhe punëdhënësve) dhe rritjen e depërtimit në treg. Ky model ka unifikuar proçesi i ofrimit të shërbimit ne  tre nivele, 1. Shërbimi i Informacionit – Informacion i menjëhershëm mbi një gamë temash mbi Tregun e Punës;  2. Zona e Shërbimeve Kryesore, Ekzekutim i shpejtë në regjistrimin, këshillimin dhe shërbimet kryesore; 3. Këshillimi i Specializuar, Mundësi takimesh për shërbime këshillimi më të thelluara.  Modeli Kombëtar i Shërbimit përfshin 4 aktivitete kryesore: Riorganizimin e ambienteve të punës sipas modelit të ri të shërbimeve te punesimit ne te gjitha Zyrat e Punesimit; Ngritjen e sistemit te menaxhimit te performacës të shërbimeve që ofrojnë ZP; Modernizimin e infrastrukturës dhe sistemeve të IT në Shërbimin Kombëtar të Punësimit (SHKP); Zhvillimi i burimeve njerezore.</t>
  </si>
  <si>
    <t>Te punesuarit/trajnuar nepermjet programeve te nxitjes se punesimit</t>
  </si>
  <si>
    <t>Zbatimi i 8 programeve te nxitjes se punesimit: Trajnimi në vendin e punës; Punësimi i grave dhe vajzave kryefamiljare; Punësimi i personave me aftësi të kufizuara; Punësimi i grupeve vulnerabël; Punësimi i të rinjve të diplomuar në arsimin e larte universitar; Praktika profesionale për të sapo diplomuarit; Nxitje e punësimit për jetimët; Program Nxitje nepermjet pageses per pjesemarrje ne kurse te formimit profesional.</t>
  </si>
  <si>
    <t>Numri i te punesuarve \ trajnuarve</t>
  </si>
  <si>
    <t>Te trajnuar ne Qendrat e Formimit Profesional Publik (QFP)</t>
  </si>
  <si>
    <t>QFP ne zbatim te ligjit nr.15/2017 ofrojne kurse profesionale per punekerkuesit e papune, te regjistruar ne zyrat e punesimit me qellim kualifikimin e tyre ne nje profesion, te kerkuar ne tregun e punes per arritjen e  punesimin te tyre.</t>
  </si>
  <si>
    <t>Numri i te trajnuarve</t>
  </si>
  <si>
    <t>Persona te trajtuar me pagese papunesie</t>
  </si>
  <si>
    <t>Ne zbatim te ligjit nr.7703, datë 11.5.1993, “Për sigurimet shoqërore në Republikën e Shqipërisë”, të ndryshuar dhe VKM  Nr 161, datë 23.1.2018 të Këshillit të Ministrave “Për Pagesën e së ardhurës nga papunësia” mbeshteten me te ardhura punekerkuesit e papune per nje periudhe deri ne 1 vit, personat do të përfitojnë pagesën e të ardhurës nga papunësia (Aktualisht 1100 leke) si dhe kategorizimin e përfituesve të pagesës së papunësisë, sipas  kontributeve  të derdhura në sigurimet shoqërore, në kuadrin e përshtatjes së legjislacionit shqiptar me atë të Konventave Ndërkombëtare të Organizatës Ndërkombëtare të Punës (ILO-s), Konventës nr. 102 “Për sigurimet shoqërore (Standardet minimale)” dhe Konventës nr. 168 “Nxitja e punësimit dhe mbrojtja kundër papunësisë”, të ratifikuara, duke arritur masen e pagese se papunesise ne masen 50% te pages minimale ne shkalle vendi.</t>
  </si>
  <si>
    <t>Numri i personave, perfitues te pageses se te ardhures nga papunesia</t>
  </si>
  <si>
    <t>Dokumenta per shtetasit e huaj qe punojne ne Shqiperi</t>
  </si>
  <si>
    <t xml:space="preserve">Subjek i këtij Ligji janë të gjithë shtetasit e huaj që synojnë të hyjnë në territorin e Republikës së Shqipërisë dhe kanë si qëllim transitimin, punësimin, studimin apo ripranimin. </t>
  </si>
  <si>
    <t>Leje pune, Certifikata regjistrimi dhe Vertetim deklarimi per punesim</t>
  </si>
  <si>
    <r>
      <t xml:space="preserve">Detajimi i Kostos Totale të </t>
    </r>
    <r>
      <rPr>
        <b/>
        <sz val="8"/>
        <color rgb="FFFF0000"/>
        <rFont val="Garamond"/>
        <family val="1"/>
      </rPr>
      <t>Produktit 5</t>
    </r>
    <r>
      <rPr>
        <b/>
        <sz val="8"/>
        <color theme="1"/>
        <rFont val="Garamond"/>
        <family val="1"/>
      </rPr>
      <t xml:space="preserve"> sipas Artikujve Ekonomikë</t>
    </r>
  </si>
  <si>
    <t>Akte ligjore e nenligjore, raportime, raporte statistikore, finaciare, procese prokurimi, raporte auditimi</t>
  </si>
  <si>
    <t>Raporte te ndryshme ne kuader te detyrimeve per PKIE, Prioritetin 5, strategjive e planeve te veprimit per PAK, Romet dhe egjiptianet, si dhe raporte statistikore, finaciare, procese prokurimi, auditimi etj.</t>
  </si>
  <si>
    <t>Numri i dokumentave te hartuara</t>
  </si>
  <si>
    <t>Aftësi më të larta dhe punë më të mirë për të gjithë femrat dhe meshkujt, nepermjet politikave te cilat nxisin vende pune cilësore dhe mundësi aftësimi për te gjithë femrat dhe meshkujt gjatë gjithë ciklit të jetës. Politika aktive koherente të bashkërenduara me kërkesën dhe ofertën për punësim qe sjellin mënjanimin e hendeqeve të përfshirjes sociale. Të promovojë nje treg punes gjitheperfshires si për femrat dhe për meshkujt, nepermjet programeve aktive te tregut te punës. (programe nxitje punesimit, trainimit, ritrainimit, praktikave ne vendin e punes,ose masave te tjera qe gjenerojne punesim). Permiresimi i sistemit te menaxhimit te migrimit sipas sandarteve te BE. Rritjen e perfshirjes se grupeve te vecanta ne TP. 10% me shume gra dhe burra ne programet e punesimit. 75% do te jene gra, nga 55% e te punesuarve pas masave te nxitjes se punesimit. 2 here me shume investim per masat e nxitjes se punesimit.</t>
  </si>
  <si>
    <t>Inspektimi i punes</t>
  </si>
  <si>
    <t>ISHPSHSH eshte garanci per te ruajtur paqen sociale dhe per te siguruar qendrueshmeri ne tregon e punes, si nje faktor I rendesishem dhe I pazevendesueshem ne zhvillimin dhe konsolidimin e tregut te punes. Inspektimi I punes eshte nje mjet qe sherben garantimin e zabatueshmerise se Legjislacionit te Punes nga aktivitetet ekonomike qe ushtrojne aktivitetin e tyre ne Repobliken e Shqiperise.</t>
  </si>
  <si>
    <t>Nepermjet inspektimit te punes synohet realizimi I procesit te inspektimit, promovimin e nje kulture parandaluese per kushtet e sigurise dhe shendetit ne vendin e punes si dhe te pasjes se nje pune te siguruar nga ana shoqerore e shendetesore.</t>
  </si>
  <si>
    <t>Numerin e inspektimive realizimin e tyre.</t>
  </si>
  <si>
    <t xml:space="preserve">Realizimi i inspektimeve ne subjektet ekonomike, duke mbuluar me inspektim subjektet qe paraqesin rrezikshmeri kryesisht per kushtet e sigurise dhe shendetit ne pune te punemarresve, duke synuar dhe  permiresimin e performances ne inspektim.    </t>
  </si>
  <si>
    <t xml:space="preserve">Inspektimet e realizuara nga ISHPSHSH </t>
  </si>
  <si>
    <t xml:space="preserve">Realizimi i inspektimeve ne subjektet ekonomike, duke mbuluar me inspektim subjektet qe paraqesin rrezikshmeri kryesisht per kushtet e sigurise dhe shendetit ne pune te punemarresve, duke synuar dhe  permiresimin e performances ne inspektim.  </t>
  </si>
  <si>
    <t>Numri i inspektimeve te realizuara nga ISHPSHSH</t>
  </si>
  <si>
    <t>Arsimi i Mesem Profesional</t>
  </si>
  <si>
    <t xml:space="preserve">Zhvillimi i  një sistemi të arsimit dhe formimit profesional, i cili garanton arsim dhe formim profesional cilësor dhe gjithëpërfshirës nëpërmjet:                                                                                                                                                                                                            -Optimizimit te rrjetit te ofruesve, diversifikimi i ofertës  per ritjen e aksesit ne AFP                                                                                                                                                                                                          -Rritjes se investimeve  ne sistemin e AFP                                                                                                                                                                                        -Ngritjes se sistemit te kualifikimit dhe trajnimit te vazhduar te mesuesve dhe instruktoreve te AFP-se                                                                                                                                                                                      -Forcimit te lidhjeve me biznesin nepermjet  të nxënit ne vendin e punes (praktika, skema e çirakërisë etj.)         </t>
  </si>
  <si>
    <t xml:space="preserve">Te siguroje dhe mundesoje aftesimi profesional  cilesor,  gjate gjithe jetes, per te gjithe (femrat dhe meshkujt) </t>
  </si>
  <si>
    <t>% e te punesuarve pas diplomit ne AP</t>
  </si>
  <si>
    <t>Numri i te diplomuarve ne AP</t>
  </si>
  <si>
    <t>% e mesuesve te trajnuar me trajnim te vazhdueshem</t>
  </si>
  <si>
    <t xml:space="preserve">Ritja e aksesit  ne Arsimin profesional </t>
  </si>
  <si>
    <t>Treguesit e Performancës në nivel objektivi</t>
  </si>
  <si>
    <t xml:space="preserve">% e nxenesve ne AP ne krahasim  me nxenesit qe ndjeki arsimin parauniversitar </t>
  </si>
  <si>
    <t>Numri i nxenesve femra qe ndjekin AP</t>
  </si>
  <si>
    <t>numeri i nxenesve me PAK ne AP</t>
  </si>
  <si>
    <t>% e nxenesve nga zona rurale ne AP</t>
  </si>
  <si>
    <t>Nxenes qe ndjekin shkollat e AP</t>
  </si>
  <si>
    <t>Numri i nxeneve te rregjistruar ne 35 shkollat e arsimit profesional</t>
  </si>
  <si>
    <t>Numer</t>
  </si>
  <si>
    <t>Bursa te perfituara nga nxensit e AP</t>
  </si>
  <si>
    <t xml:space="preserve">Sipas kritereve te  VKM se bursave qe del cdo vit mesimor </t>
  </si>
  <si>
    <t>numer bursash</t>
  </si>
  <si>
    <t>nxenes perfitojne subvencion tekste mesiomore</t>
  </si>
  <si>
    <t>Nxenesit sipas kriteve te pecaktuara ne VKM perfirojne tekste falas (nxenes Rome egjyptiane,jetime me ndihme ekonomike etj)</t>
  </si>
  <si>
    <t xml:space="preserve">numer </t>
  </si>
  <si>
    <t>Mobilje e Pajisje  per shkollat e AP</t>
  </si>
  <si>
    <t xml:space="preserve">Blerja e karrige tavolina, dollape etj per nxenesit,e mesuest e shkollave profesionale </t>
  </si>
  <si>
    <t>Cope</t>
  </si>
  <si>
    <t xml:space="preserve">Sigurimi i cilesise ne AFP </t>
  </si>
  <si>
    <t xml:space="preserve"> Numer Shkolla te pajisuara  me  makineri pajisje e kabinete per praktikat profesionale e laboratore didaktike </t>
  </si>
  <si>
    <t xml:space="preserve">% e mesuesve te trajnuar </t>
  </si>
  <si>
    <t>Standarte te kualifikmeve te perditsuara te referencuara me KEK</t>
  </si>
  <si>
    <t xml:space="preserve"> KSHK i implementuar </t>
  </si>
  <si>
    <t>Modeli i Akreditimit i konceptuar.</t>
  </si>
  <si>
    <t xml:space="preserve">Skeletkurikula dhe materiale mesimore të hartuara </t>
  </si>
  <si>
    <t xml:space="preserve">Puna per rishikimin dhe hartimi  per një kualifikim te nje niveli te KSHK, programet orientuese etj. </t>
  </si>
  <si>
    <r>
      <rPr>
        <b/>
        <sz val="8"/>
        <color rgb="FFFF0000"/>
        <rFont val="Garamond"/>
        <family val="1"/>
      </rPr>
      <t>Produkti 2</t>
    </r>
    <r>
      <rPr>
        <sz val="8"/>
        <color theme="1"/>
        <rFont val="Garamond"/>
        <family val="1"/>
      </rPr>
      <t>(shto produkte sipas rastit)</t>
    </r>
  </si>
  <si>
    <t>Sandarte profesionesh dhe kualifikimesh te miratuara</t>
  </si>
  <si>
    <t>a)Pershkrimi i arritjeve te nxeensve ne fund te kualifikimit per nje nivel te KSHK b) pershkrimi i  funksioneve,detyrave, kompetencave  dhe kushteve te nevojshme te punes per ushtrimin e nje profesioni.</t>
  </si>
  <si>
    <t>numer</t>
  </si>
  <si>
    <r>
      <t xml:space="preserve">Detajimi i Kostos Totale të </t>
    </r>
    <r>
      <rPr>
        <b/>
        <sz val="8"/>
        <color rgb="FFFF0000"/>
        <rFont val="Garamond"/>
        <family val="1"/>
      </rPr>
      <t xml:space="preserve">Produktit 2 </t>
    </r>
    <r>
      <rPr>
        <b/>
        <sz val="8"/>
        <color theme="1"/>
        <rFont val="Garamond"/>
        <family val="1"/>
      </rPr>
      <t>sipas Artikujve Ekonomikë</t>
    </r>
  </si>
  <si>
    <r>
      <rPr>
        <b/>
        <sz val="8"/>
        <color rgb="FFFF0000"/>
        <rFont val="Garamond"/>
        <family val="1"/>
      </rPr>
      <t>Produkti 3</t>
    </r>
    <r>
      <rPr>
        <sz val="8"/>
        <color theme="1"/>
        <rFont val="Garamond"/>
        <family val="1"/>
      </rPr>
      <t>(shto produkte sipas rastit)</t>
    </r>
  </si>
  <si>
    <t xml:space="preserve">Mesues te trajnuar </t>
  </si>
  <si>
    <t>Trajnimi 24 ditor i mesuesve te teorise dhe praktikes profesionale, dhe trajnime te tjera te vazhduara per mesuesit ne AP</t>
  </si>
  <si>
    <t xml:space="preserve">Shkolla te vetvleresuara </t>
  </si>
  <si>
    <t xml:space="preserve">Fillimi i procesit te vetveleresimit ne shkollat AP (sipas udhezimit nr 16 date 08.05.2018)  hartimi i metodologjise se vleresimit, pilotimi i procesit </t>
  </si>
  <si>
    <t>Akte neligjore te hartuara e miraturara</t>
  </si>
  <si>
    <t>Hartimi i akteve nenligjore per ligjin e KSHK dhe AFP</t>
  </si>
  <si>
    <t>Produkti 1,2,3,4</t>
  </si>
  <si>
    <t xml:space="preserve">Kompjutera, printera, projektor </t>
  </si>
  <si>
    <t>Ndertim/rikostruksion, shkollash dhe reparte te praktikave profesionale</t>
  </si>
  <si>
    <t xml:space="preserve">Ndertimi i shkollave te reja/rikostruksioni dhe shtese e kapaciteteve te shkollave dhe reparteve te praktikave profesionale </t>
  </si>
  <si>
    <t>Numer shkollash dhe repartesh</t>
  </si>
  <si>
    <t xml:space="preserve">laboratore, pajisje, makineri per repartet e praktikave profesionale  </t>
  </si>
  <si>
    <t>Blerja e laboratoreve te lendeve te pergjithshme, blerje makineri dhe pajisje per repartet e praktikave profesionale, kafshe (Lope dele etj) per shkollat bujqesore.</t>
  </si>
  <si>
    <t>Programi konsiston ne hartimin, mbeshtejen e zbatimit dhe monitorimin politikave per sigurimin e strehimit te perballueshem dhe te pershtatshem per kategorite qe nuk perballojne dot kostot e strehimit ne treg; percakton rregulla te pergjitheshme, norma e standarte dhe siguron financime per realizimin e politikave te programit.</t>
  </si>
  <si>
    <t xml:space="preserve">Qellimi final i politikave eshte te ndikoje ne uljen e varferise, te papunesise dhe te emigracionit te te rinjve dhe  ne rritjen e cilesise se jeteses </t>
  </si>
  <si>
    <t>Reduktimi i varferise ekreteme si rezultat i zbatimit te programeve sociale te strehimit Numri i familjeve ne varferi extreme sipas BB)</t>
  </si>
  <si>
    <t>Reduktimi i nurmit te familjeve qe emigrojne si rezultat i mbeshtetjes me programet sociale te strehimit (numri i personave qe kane emigrauar ne vitin 2017)</t>
  </si>
  <si>
    <t>Rritja e numrit te banesave me eficience energjise te permiresuar</t>
  </si>
  <si>
    <t>Te siguroje strehim te pershtatshem e te perballueshem per individe e familje qe nuk perballojne dot kostot e tregut te banesave</t>
  </si>
  <si>
    <t>Perqindja e familjeve qe kane permiresuar kushtet e jeteses si rezultat i perfitimit nga programet sociale (progresive)</t>
  </si>
  <si>
    <t>Rritja e perfitueseve te kategorise "femra te dhunuara" dhe "gra kryefamiljare"</t>
  </si>
  <si>
    <t>Nuk ka informacion</t>
  </si>
  <si>
    <t>Kredi ekzistuese qe subvencionohen</t>
  </si>
  <si>
    <t>Numer familje qe kane perfituar kredi dhe u subvencionohen interesat</t>
  </si>
  <si>
    <t>Numer kredi/familje</t>
  </si>
  <si>
    <r>
      <t xml:space="preserve">Detajimi i Kostos Totale të </t>
    </r>
    <r>
      <rPr>
        <b/>
        <sz val="9"/>
        <color rgb="FFFF0000"/>
        <rFont val="Garamond"/>
        <family val="1"/>
      </rPr>
      <t>Produktit 1</t>
    </r>
    <r>
      <rPr>
        <b/>
        <sz val="9"/>
        <color theme="1"/>
        <rFont val="Garamond"/>
        <family val="1"/>
      </rPr>
      <t xml:space="preserve"> sipas Artikujve Ekonomikë</t>
    </r>
  </si>
  <si>
    <r>
      <rPr>
        <b/>
        <sz val="9"/>
        <color rgb="FFFF0000"/>
        <rFont val="Garamond"/>
        <family val="1"/>
      </rPr>
      <t>Produkti 2</t>
    </r>
    <r>
      <rPr>
        <b/>
        <sz val="9"/>
        <color theme="1"/>
        <rFont val="Garamond"/>
        <family val="1"/>
      </rPr>
      <t xml:space="preserve"> (shto produkte sipas rastit)</t>
    </r>
  </si>
  <si>
    <t>Kredi te reja</t>
  </si>
  <si>
    <t>Familje qe futen rishtas ne skeme</t>
  </si>
  <si>
    <r>
      <t>Detajimi i Kostos Totale të</t>
    </r>
    <r>
      <rPr>
        <b/>
        <sz val="9"/>
        <color rgb="FFFF0000"/>
        <rFont val="Garamond"/>
        <family val="1"/>
      </rPr>
      <t xml:space="preserve"> Produktit 2 </t>
    </r>
    <r>
      <rPr>
        <b/>
        <sz val="9"/>
        <color theme="1"/>
        <rFont val="Garamond"/>
        <family val="1"/>
      </rPr>
      <t>sipas Artikujve Ekonomikë</t>
    </r>
  </si>
  <si>
    <r>
      <rPr>
        <b/>
        <sz val="9"/>
        <color rgb="FFFF0000"/>
        <rFont val="Garamond"/>
        <family val="1"/>
      </rPr>
      <t>Produkti 3</t>
    </r>
    <r>
      <rPr>
        <sz val="9"/>
        <color theme="1"/>
        <rFont val="Garamond"/>
        <family val="1"/>
      </rPr>
      <t xml:space="preserve"> (shto produkte sipas rastit)</t>
    </r>
  </si>
  <si>
    <t>Bonusi i qirase</t>
  </si>
  <si>
    <t>Numer familje qe perfitojne bonus qiraje</t>
  </si>
  <si>
    <t>Numer (familje) perfituesish</t>
  </si>
  <si>
    <r>
      <t>Detajimi i Kostos Totale të</t>
    </r>
    <r>
      <rPr>
        <b/>
        <sz val="9"/>
        <color rgb="FFFF0000"/>
        <rFont val="Garamond"/>
        <family val="1"/>
      </rPr>
      <t xml:space="preserve"> Produktit 3 </t>
    </r>
    <r>
      <rPr>
        <b/>
        <sz val="9"/>
        <color theme="1"/>
        <rFont val="Garamond"/>
        <family val="1"/>
      </rPr>
      <t>sipas Artikujve Ekonomikë</t>
    </r>
  </si>
  <si>
    <t>Adaptimi i objekteve jo banimi ne banesa sociale me qira</t>
  </si>
  <si>
    <t>Objekte te adaptuara</t>
  </si>
  <si>
    <t>Numer familje qe perfitojne banesa sociale me qira ne objekte te adaptuara</t>
  </si>
  <si>
    <r>
      <t xml:space="preserve">Detajimi i Kostos Totale të </t>
    </r>
    <r>
      <rPr>
        <b/>
        <sz val="9"/>
        <color rgb="FFFF0000"/>
        <rFont val="Garamond"/>
        <family val="1"/>
      </rPr>
      <t>Produktit 4</t>
    </r>
    <r>
      <rPr>
        <b/>
        <sz val="9"/>
        <color theme="1"/>
        <rFont val="Garamond"/>
        <family val="1"/>
      </rPr>
      <t xml:space="preserve"> sipas Artikujve Ekonomikë</t>
    </r>
  </si>
  <si>
    <t>Permiresimi i kushteve te banimit te komuniteteve te pa-favorizuara</t>
  </si>
  <si>
    <t xml:space="preserve">Produkti 5 </t>
  </si>
  <si>
    <t>Banesa te permriesuara</t>
  </si>
  <si>
    <t>Familje qe kane perfituar nga banesat e permriesuara</t>
  </si>
  <si>
    <t>numer familjesh</t>
  </si>
  <si>
    <r>
      <t xml:space="preserve">Detajimi i Kostos Totale të </t>
    </r>
    <r>
      <rPr>
        <b/>
        <sz val="9"/>
        <color rgb="FFFF0000"/>
        <rFont val="Garamond"/>
        <family val="1"/>
      </rPr>
      <t>Produktit 5</t>
    </r>
    <r>
      <rPr>
        <b/>
        <sz val="9"/>
        <color theme="1"/>
        <rFont val="Garamond"/>
        <family val="1"/>
      </rPr>
      <t xml:space="preserve"> sipas Artikujve Ekonomikë</t>
    </r>
  </si>
  <si>
    <t>Mbeshtetje per Mbikq.e Tregut, Infrast. e Ciles. dhe Pron. Industr.Ky program nepermjet mbeshtetjes dhe promovimit te perdorimit te i) standardeve europiane e  nderkombetare, ii) akreditimit si njohje e besushmerise se rezulateve te organeve te vleresimit te  konformitetit, iii) metrologjise per matje te sakta dhe te sigurta per konsumatoret si dhe iv)  mbeshtetjes se inspektimeve ne treg , synon te siguroje nje nivel te larte te mbrojtjes se jetes,  shendetit, interesave ekonomike te konsumatoreve, nepermjet inspektimve ne treg  dhe rritjen dhe zhvillimin e tregtise dhe konkurences se ndershme</t>
  </si>
  <si>
    <t>Programi "Sigurimi Shoqëror" mbulon me fonde transfertat për individët nga pensionet publike, nga përfitimet në rastet e paaftësise së përkohshme për punë, nga perfitimet në raste barrëlindje,  nga përfitimet në raste të aksidenteve në punë, nga përfitimet e kompensimeve të ndryshme të shpenzimeve nga rritja e çmimeve, nga  përfitimet  nga sigurimet suplementare,  ne momentin e lindjes së  te drejtës dhe nevojës për to.Gjithashtu, programi mbulon mbledhjen dhe administrimin e të ardhurave nga kontibutet e fermerëve dhe të siguruarve vullnetarisht, administrimi i kontributeve dhe i transfertave me destinacion nga buxheti i shtetit në buxhetin e ISSH, si dhe administrimin e të gjithë informacionit që lidhet me të drejtat e  fituara të kontribuesve në skemën e sigurimit shoqëror të detyrueshëm dhe suplementar.</t>
  </si>
  <si>
    <t xml:space="preserve">Produkti 3 </t>
  </si>
  <si>
    <t>Objektivi 4 i Politikës së Programit</t>
  </si>
  <si>
    <t>Ministria e Financave dhe Ekonomisë</t>
  </si>
  <si>
    <r>
      <rPr>
        <b/>
        <sz val="8"/>
        <color rgb="FFFF0000"/>
        <rFont val="Garamond"/>
        <family val="1"/>
        <charset val="238"/>
      </rPr>
      <t>Produkti 3</t>
    </r>
    <r>
      <rPr>
        <sz val="8"/>
        <color theme="1"/>
        <rFont val="Garamond"/>
        <family val="1"/>
      </rPr>
      <t xml:space="preserve"> (shto produkte sipas rastit)</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</si>
</sst>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0.0"/>
    <numFmt numFmtId="167" formatCode="_(* #,##0_);_(* \(#,##0\);_(* &quot;-&quot;??_);_(@_)"/>
  </numFmts>
  <fonts count="63" x14ac:knownFonts="1">
    <font>
      <sz val="11"/>
      <color theme="1"/>
      <name val="Calibri"/>
      <family val="2"/>
      <charset val="238"/>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10"/>
      <name val="Arial"/>
      <family val="2"/>
    </font>
    <font>
      <b/>
      <sz val="11"/>
      <color theme="1"/>
      <name val="Garamond"/>
      <family val="1"/>
    </font>
    <font>
      <b/>
      <sz val="12"/>
      <color theme="1"/>
      <name val="Garamond"/>
      <family val="1"/>
    </font>
    <font>
      <b/>
      <sz val="14"/>
      <color theme="1"/>
      <name val="Garamond"/>
      <family val="1"/>
    </font>
    <font>
      <sz val="12"/>
      <color theme="1"/>
      <name val="Calibri"/>
      <family val="2"/>
      <scheme val="minor"/>
    </font>
    <font>
      <sz val="12"/>
      <color theme="1"/>
      <name val="Garamond"/>
      <family val="1"/>
    </font>
    <font>
      <sz val="10"/>
      <name val="Arial"/>
      <family val="2"/>
      <charset val="238"/>
    </font>
    <font>
      <sz val="11"/>
      <color rgb="FF000000"/>
      <name val="Calibri"/>
      <family val="2"/>
    </font>
    <font>
      <b/>
      <sz val="11"/>
      <color theme="1"/>
      <name val="Calibri"/>
      <family val="2"/>
      <charset val="238"/>
      <scheme val="minor"/>
    </font>
    <font>
      <b/>
      <sz val="10"/>
      <color theme="1"/>
      <name val="Garamond"/>
      <family val="1"/>
    </font>
    <font>
      <sz val="9"/>
      <color theme="1"/>
      <name val="Garamond"/>
      <family val="1"/>
    </font>
    <font>
      <b/>
      <sz val="9"/>
      <color theme="1"/>
      <name val="Garamond"/>
      <family val="1"/>
    </font>
    <font>
      <sz val="8"/>
      <color theme="1"/>
      <name val="Garamond"/>
      <family val="1"/>
    </font>
    <font>
      <b/>
      <sz val="8"/>
      <color theme="1"/>
      <name val="Garamond"/>
      <family val="1"/>
    </font>
    <font>
      <b/>
      <sz val="8"/>
      <color rgb="FFFF0000"/>
      <name val="Garamond"/>
      <family val="1"/>
    </font>
    <font>
      <i/>
      <sz val="8"/>
      <color theme="1"/>
      <name val="Garamond"/>
      <family val="1"/>
    </font>
    <font>
      <b/>
      <i/>
      <sz val="9"/>
      <color rgb="FFFF0000"/>
      <name val="Garamond"/>
      <family val="1"/>
    </font>
    <font>
      <b/>
      <sz val="9"/>
      <color rgb="FFFF0000"/>
      <name val="Garamond"/>
      <family val="1"/>
    </font>
    <font>
      <b/>
      <sz val="11"/>
      <name val="Garamond"/>
      <family val="1"/>
    </font>
    <font>
      <b/>
      <i/>
      <sz val="11"/>
      <color theme="1"/>
      <name val="Garamond"/>
      <family val="1"/>
    </font>
    <font>
      <sz val="11"/>
      <color theme="1"/>
      <name val="Garamond"/>
      <family val="1"/>
    </font>
    <font>
      <i/>
      <sz val="11"/>
      <color theme="1"/>
      <name val="Garamond"/>
      <family val="1"/>
    </font>
    <font>
      <b/>
      <sz val="10"/>
      <color rgb="FFFF0000"/>
      <name val="Garamond"/>
      <family val="1"/>
    </font>
    <font>
      <b/>
      <i/>
      <sz val="8"/>
      <color theme="1"/>
      <name val="Garamond"/>
      <family val="1"/>
    </font>
    <font>
      <b/>
      <i/>
      <sz val="9"/>
      <color theme="1"/>
      <name val="Garamond"/>
      <family val="1"/>
    </font>
    <font>
      <i/>
      <sz val="9"/>
      <color theme="1"/>
      <name val="Garamond"/>
      <family val="1"/>
    </font>
    <font>
      <b/>
      <sz val="8"/>
      <color indexed="10"/>
      <name val="Garamond"/>
      <family val="1"/>
    </font>
    <font>
      <b/>
      <sz val="8"/>
      <color indexed="8"/>
      <name val="Garamond"/>
      <family val="1"/>
    </font>
    <font>
      <i/>
      <sz val="10"/>
      <color theme="1"/>
      <name val="Garamond"/>
      <family val="1"/>
    </font>
    <font>
      <sz val="10"/>
      <color rgb="FFFF0000"/>
      <name val="Garamond"/>
      <family val="1"/>
    </font>
    <font>
      <b/>
      <sz val="12"/>
      <color theme="1"/>
      <name val="Times New Roman"/>
      <family val="1"/>
    </font>
    <font>
      <sz val="8"/>
      <name val="Garamond"/>
      <family val="1"/>
    </font>
    <font>
      <sz val="8"/>
      <color rgb="FFFF0000"/>
      <name val="Garamond"/>
      <family val="1"/>
    </font>
    <font>
      <b/>
      <sz val="8"/>
      <name val="Garamond"/>
      <family val="1"/>
    </font>
    <font>
      <b/>
      <sz val="12"/>
      <color rgb="FFFF0000"/>
      <name val="Garamond"/>
      <family val="1"/>
    </font>
    <font>
      <sz val="10"/>
      <color theme="1"/>
      <name val="Garamond"/>
      <family val="1"/>
      <charset val="238"/>
    </font>
    <font>
      <sz val="9"/>
      <color theme="1"/>
      <name val="Garamond"/>
      <family val="1"/>
      <charset val="238"/>
    </font>
    <font>
      <sz val="8"/>
      <color theme="1"/>
      <name val="Garamond"/>
      <family val="1"/>
      <charset val="238"/>
    </font>
    <font>
      <i/>
      <sz val="9"/>
      <color theme="1"/>
      <name val="Garamond"/>
      <family val="1"/>
      <charset val="238"/>
    </font>
    <font>
      <i/>
      <sz val="8"/>
      <color theme="1"/>
      <name val="Garamond"/>
      <family val="1"/>
      <charset val="238"/>
    </font>
    <font>
      <b/>
      <sz val="8"/>
      <color rgb="FFFF0000"/>
      <name val="Garamond"/>
      <family val="1"/>
      <charset val="238"/>
    </font>
    <font>
      <b/>
      <sz val="8"/>
      <name val="Garamond"/>
      <family val="1"/>
      <charset val="238"/>
    </font>
    <font>
      <sz val="8"/>
      <name val="Garamond"/>
      <family val="1"/>
      <charset val="238"/>
    </font>
    <font>
      <sz val="11"/>
      <color theme="0"/>
      <name val="Calibri"/>
      <family val="2"/>
      <charset val="23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FFCCFF"/>
        <bgColor indexed="64"/>
      </patternFill>
    </fill>
    <fill>
      <patternFill patternType="solid">
        <fgColor theme="5" tint="0.79998168889431442"/>
        <bgColor indexed="64"/>
      </patternFill>
    </fill>
    <fill>
      <patternFill patternType="solid">
        <fgColor theme="3" tint="0.79998168889431442"/>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diagonal/>
    </border>
    <border>
      <left style="medium">
        <color rgb="FF2E74B5"/>
      </left>
      <right style="medium">
        <color rgb="FF2E74B5"/>
      </right>
      <top/>
      <bottom/>
      <diagonal/>
    </border>
    <border>
      <left style="medium">
        <color rgb="FF2E74B5"/>
      </left>
      <right/>
      <top/>
      <bottom/>
      <diagonal/>
    </border>
    <border>
      <left/>
      <right/>
      <top style="medium">
        <color rgb="FF2E74B5"/>
      </top>
      <bottom/>
      <diagonal/>
    </border>
    <border>
      <left/>
      <right style="medium">
        <color rgb="FF2E74B5"/>
      </right>
      <top style="medium">
        <color rgb="FF2E74B5"/>
      </top>
      <bottom/>
      <diagonal/>
    </border>
    <border>
      <left/>
      <right style="medium">
        <color rgb="FF2E74B5"/>
      </right>
      <top/>
      <bottom/>
      <diagonal/>
    </border>
    <border>
      <left style="medium">
        <color rgb="FF2E74B5"/>
      </left>
      <right/>
      <top/>
      <bottom style="medium">
        <color rgb="FF2E74B5"/>
      </bottom>
      <diagonal/>
    </border>
    <border>
      <left/>
      <right/>
      <top/>
      <bottom style="medium">
        <color rgb="FF2E74B5"/>
      </bottom>
      <diagonal/>
    </border>
    <border>
      <left/>
      <right style="medium">
        <color rgb="FF2E74B5"/>
      </right>
      <top/>
      <bottom style="medium">
        <color rgb="FF2E74B5"/>
      </bottom>
      <diagonal/>
    </border>
    <border>
      <left style="medium">
        <color rgb="FF2E74B5"/>
      </left>
      <right style="medium">
        <color rgb="FF2E74B5"/>
      </right>
      <top style="medium">
        <color rgb="FF2E74B5"/>
      </top>
      <bottom/>
      <diagonal/>
    </border>
    <border>
      <left style="medium">
        <color rgb="FF2E74B5"/>
      </left>
      <right style="medium">
        <color rgb="FF2E74B5"/>
      </right>
      <top/>
      <bottom style="medium">
        <color rgb="FF2E74B5"/>
      </bottom>
      <diagonal/>
    </border>
    <border>
      <left style="medium">
        <color rgb="FF2E74B5"/>
      </left>
      <right style="medium">
        <color rgb="FF2E74B5"/>
      </right>
      <top style="thin">
        <color indexed="64"/>
      </top>
      <bottom/>
      <diagonal/>
    </border>
    <border>
      <left/>
      <right style="medium">
        <color rgb="FF2E74B5"/>
      </right>
      <top style="thin">
        <color indexed="64"/>
      </top>
      <bottom/>
      <diagonal/>
    </border>
    <border>
      <left style="thin">
        <color indexed="64"/>
      </left>
      <right style="thin">
        <color indexed="64"/>
      </right>
      <top style="thin">
        <color indexed="64"/>
      </top>
      <bottom style="thin">
        <color indexed="64"/>
      </bottom>
      <diagonal/>
    </border>
    <border>
      <left style="medium">
        <color rgb="FF2E74B5"/>
      </left>
      <right style="medium">
        <color rgb="FF2E74B5"/>
      </right>
      <top style="medium">
        <color rgb="FF2E74B5"/>
      </top>
      <bottom style="thin">
        <color indexed="64"/>
      </bottom>
      <diagonal/>
    </border>
    <border>
      <left style="medium">
        <color rgb="FF2E74B5"/>
      </left>
      <right style="medium">
        <color rgb="FF2E74B5"/>
      </right>
      <top style="thin">
        <color indexed="64"/>
      </top>
      <bottom style="medium">
        <color rgb="FF2E74B5"/>
      </bottom>
      <diagonal/>
    </border>
    <border>
      <left style="medium">
        <color indexed="64"/>
      </left>
      <right style="medium">
        <color indexed="64"/>
      </right>
      <top style="medium">
        <color indexed="64"/>
      </top>
      <bottom style="medium">
        <color indexed="64"/>
      </bottom>
      <diagonal/>
    </border>
    <border>
      <left style="thin">
        <color indexed="64"/>
      </left>
      <right style="medium">
        <color rgb="FF2E74B5"/>
      </right>
      <top style="thin">
        <color indexed="64"/>
      </top>
      <bottom style="thin">
        <color indexed="64"/>
      </bottom>
      <diagonal/>
    </border>
    <border>
      <left/>
      <right style="medium">
        <color rgb="FF2E74B5"/>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rgb="FF2E74B5"/>
      </right>
      <top/>
      <bottom style="medium">
        <color rgb="FF2E74B5"/>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1">
    <xf numFmtId="0" fontId="0" fillId="0" borderId="0"/>
    <xf numFmtId="0" fontId="1"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9" fontId="1" fillId="0" borderId="0" applyFont="0" applyFill="0" applyBorder="0" applyAlignment="0" applyProtection="0"/>
    <xf numFmtId="0" fontId="23" fillId="0" borderId="0"/>
    <xf numFmtId="164" fontId="19" fillId="0" borderId="0" applyFill="0" applyBorder="0" applyAlignment="0" applyProtection="0"/>
    <xf numFmtId="0" fontId="19" fillId="0" borderId="0" applyFill="0" applyBorder="0" applyAlignment="0" applyProtection="0"/>
    <xf numFmtId="0" fontId="25" fillId="0" borderId="0"/>
    <xf numFmtId="43" fontId="1" fillId="0" borderId="0" applyFont="0" applyFill="0" applyBorder="0" applyAlignment="0" applyProtection="0"/>
    <xf numFmtId="0" fontId="1" fillId="0" borderId="0"/>
    <xf numFmtId="164" fontId="19"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applyFill="0" applyBorder="0" applyAlignment="0" applyProtection="0"/>
    <xf numFmtId="0" fontId="19" fillId="0" borderId="0" applyFill="0" applyBorder="0" applyAlignment="0" applyProtection="0"/>
    <xf numFmtId="0" fontId="26" fillId="0" borderId="0"/>
    <xf numFmtId="43" fontId="26" fillId="0" borderId="0" applyFont="0" applyFill="0" applyBorder="0" applyAlignment="0" applyProtection="0"/>
    <xf numFmtId="43" fontId="26" fillId="0" borderId="0" applyFont="0" applyFill="0" applyBorder="0" applyAlignment="0" applyProtection="0"/>
    <xf numFmtId="0" fontId="19" fillId="0" borderId="0"/>
    <xf numFmtId="0" fontId="19" fillId="0" borderId="0"/>
  </cellStyleXfs>
  <cellXfs count="621">
    <xf numFmtId="0" fontId="0" fillId="0" borderId="0" xfId="0"/>
    <xf numFmtId="0" fontId="1" fillId="0" borderId="0" xfId="50"/>
    <xf numFmtId="0" fontId="20" fillId="34" borderId="0" xfId="50" applyFont="1" applyFill="1"/>
    <xf numFmtId="0" fontId="1" fillId="34" borderId="0" xfId="50" applyFill="1"/>
    <xf numFmtId="0" fontId="21" fillId="34" borderId="13" xfId="50" applyFont="1" applyFill="1" applyBorder="1" applyAlignment="1">
      <alignment horizontal="center" vertical="center" wrapText="1"/>
    </xf>
    <xf numFmtId="49" fontId="18" fillId="33" borderId="13" xfId="50" applyNumberFormat="1" applyFont="1" applyFill="1" applyBorder="1" applyAlignment="1">
      <alignment horizontal="center" vertical="center" wrapText="1"/>
    </xf>
    <xf numFmtId="0" fontId="21" fillId="33" borderId="13" xfId="50" applyFont="1" applyFill="1" applyBorder="1" applyAlignment="1">
      <alignment horizontal="center" vertical="center" wrapText="1"/>
    </xf>
    <xf numFmtId="0" fontId="21" fillId="33" borderId="13" xfId="50" applyFont="1" applyFill="1" applyBorder="1" applyAlignment="1">
      <alignment horizontal="center" vertical="center"/>
    </xf>
    <xf numFmtId="0" fontId="27" fillId="0" borderId="0" xfId="0" applyFont="1"/>
    <xf numFmtId="0" fontId="28" fillId="33" borderId="13" xfId="0" applyFont="1" applyFill="1" applyBorder="1" applyAlignment="1">
      <alignment horizontal="left" vertical="center" wrapText="1"/>
    </xf>
    <xf numFmtId="0" fontId="28" fillId="35" borderId="13" xfId="0" applyFont="1" applyFill="1" applyBorder="1" applyAlignment="1">
      <alignment vertical="center" wrapText="1"/>
    </xf>
    <xf numFmtId="0" fontId="18" fillId="33" borderId="24" xfId="0" applyFont="1" applyFill="1" applyBorder="1" applyAlignment="1">
      <alignment horizontal="center" vertical="center" wrapText="1"/>
    </xf>
    <xf numFmtId="165" fontId="18" fillId="33" borderId="22" xfId="44" applyNumberFormat="1" applyFont="1" applyFill="1" applyBorder="1" applyAlignment="1">
      <alignment horizontal="center" vertical="center" wrapText="1"/>
    </xf>
    <xf numFmtId="165" fontId="31" fillId="33" borderId="22" xfId="0" applyNumberFormat="1" applyFont="1" applyFill="1" applyBorder="1" applyAlignment="1">
      <alignment horizontal="center" vertical="center"/>
    </xf>
    <xf numFmtId="9" fontId="31" fillId="33" borderId="22" xfId="0" applyNumberFormat="1" applyFont="1" applyFill="1" applyBorder="1" applyAlignment="1">
      <alignment horizontal="center" vertical="center"/>
    </xf>
    <xf numFmtId="166" fontId="31" fillId="33" borderId="22" xfId="0" applyNumberFormat="1" applyFont="1" applyFill="1" applyBorder="1" applyAlignment="1">
      <alignment horizontal="center" vertical="center"/>
    </xf>
    <xf numFmtId="1" fontId="31" fillId="33" borderId="25" xfId="0" applyNumberFormat="1" applyFont="1" applyFill="1" applyBorder="1" applyAlignment="1">
      <alignment horizontal="center" vertical="center"/>
    </xf>
    <xf numFmtId="9" fontId="31" fillId="33" borderId="26" xfId="0" applyNumberFormat="1" applyFont="1" applyFill="1" applyBorder="1" applyAlignment="1">
      <alignment horizontal="center" vertical="center"/>
    </xf>
    <xf numFmtId="0" fontId="33" fillId="35" borderId="24" xfId="0" applyFont="1" applyFill="1" applyBorder="1" applyAlignment="1">
      <alignment horizontal="left" vertical="center" wrapText="1"/>
    </xf>
    <xf numFmtId="0" fontId="31" fillId="33" borderId="24" xfId="0" applyFont="1" applyFill="1" applyBorder="1" applyAlignment="1">
      <alignment horizontal="left" vertical="center" wrapText="1"/>
    </xf>
    <xf numFmtId="0" fontId="32" fillId="33" borderId="19" xfId="0" applyFont="1" applyFill="1" applyBorder="1" applyAlignment="1">
      <alignment horizontal="center" vertical="center" wrapText="1"/>
    </xf>
    <xf numFmtId="0" fontId="32" fillId="33" borderId="22" xfId="0" applyFont="1" applyFill="1" applyBorder="1" applyAlignment="1">
      <alignment horizontal="center" vertical="center" wrapText="1"/>
    </xf>
    <xf numFmtId="3" fontId="31" fillId="33" borderId="24" xfId="0" applyNumberFormat="1" applyFont="1" applyFill="1" applyBorder="1" applyAlignment="1">
      <alignment horizontal="center" vertical="center" wrapText="1"/>
    </xf>
    <xf numFmtId="0" fontId="31" fillId="33" borderId="24" xfId="0" applyFont="1" applyFill="1" applyBorder="1" applyAlignment="1">
      <alignment horizontal="center" vertical="center" wrapText="1"/>
    </xf>
    <xf numFmtId="0" fontId="29" fillId="0" borderId="24" xfId="0" applyFont="1" applyBorder="1" applyAlignment="1">
      <alignment horizontal="left" vertical="center" wrapText="1" indent="1"/>
    </xf>
    <xf numFmtId="3" fontId="31" fillId="0" borderId="22" xfId="0" applyNumberFormat="1" applyFont="1" applyBorder="1" applyAlignment="1">
      <alignment horizontal="center" vertical="center"/>
    </xf>
    <xf numFmtId="3" fontId="34" fillId="0" borderId="22" xfId="0" applyNumberFormat="1" applyFont="1" applyBorder="1" applyAlignment="1">
      <alignment horizontal="center" vertical="center"/>
    </xf>
    <xf numFmtId="0" fontId="35" fillId="0" borderId="15" xfId="0" applyFont="1" applyBorder="1" applyAlignment="1">
      <alignment horizontal="left" vertical="center" wrapText="1" indent="1"/>
    </xf>
    <xf numFmtId="0" fontId="36" fillId="34" borderId="24" xfId="0" applyFont="1" applyFill="1" applyBorder="1" applyAlignment="1">
      <alignment vertical="center" wrapText="1"/>
    </xf>
    <xf numFmtId="3" fontId="32" fillId="34" borderId="22" xfId="0" applyNumberFormat="1" applyFont="1" applyFill="1" applyBorder="1" applyAlignment="1">
      <alignment horizontal="center" vertical="center"/>
    </xf>
    <xf numFmtId="0" fontId="31" fillId="35" borderId="24" xfId="0" applyFont="1" applyFill="1" applyBorder="1" applyAlignment="1">
      <alignment horizontal="left" vertical="center" wrapText="1"/>
    </xf>
    <xf numFmtId="0" fontId="30" fillId="0" borderId="15" xfId="0" applyFont="1" applyBorder="1" applyAlignment="1">
      <alignment horizontal="left" vertical="center" wrapText="1" indent="1"/>
    </xf>
    <xf numFmtId="3" fontId="32" fillId="0" borderId="22" xfId="0" applyNumberFormat="1" applyFont="1" applyBorder="1" applyAlignment="1">
      <alignment horizontal="center" vertical="center"/>
    </xf>
    <xf numFmtId="0" fontId="36" fillId="36" borderId="24" xfId="0" applyFont="1" applyFill="1" applyBorder="1" applyAlignment="1">
      <alignment vertical="center" wrapText="1"/>
    </xf>
    <xf numFmtId="3" fontId="32" fillId="36" borderId="22" xfId="0" applyNumberFormat="1" applyFont="1" applyFill="1" applyBorder="1" applyAlignment="1">
      <alignment horizontal="center" vertical="center"/>
    </xf>
    <xf numFmtId="0" fontId="20" fillId="35" borderId="24" xfId="0" applyFont="1" applyFill="1" applyBorder="1" applyAlignment="1">
      <alignment vertical="center" wrapText="1"/>
    </xf>
    <xf numFmtId="3" fontId="20" fillId="35" borderId="22" xfId="0" applyNumberFormat="1" applyFont="1" applyFill="1" applyBorder="1" applyAlignment="1">
      <alignment horizontal="center" vertical="center"/>
    </xf>
    <xf numFmtId="0" fontId="38" fillId="33" borderId="24" xfId="0" applyFont="1" applyFill="1" applyBorder="1" applyAlignment="1">
      <alignment vertical="center" wrapText="1"/>
    </xf>
    <xf numFmtId="3" fontId="38" fillId="33" borderId="22" xfId="0" applyNumberFormat="1" applyFont="1" applyFill="1" applyBorder="1" applyAlignment="1">
      <alignment horizontal="center" vertical="center"/>
    </xf>
    <xf numFmtId="165" fontId="38" fillId="0" borderId="22" xfId="0" applyNumberFormat="1" applyFont="1" applyBorder="1" applyAlignment="1">
      <alignment horizontal="center" vertical="center"/>
    </xf>
    <xf numFmtId="0" fontId="39" fillId="0" borderId="24" xfId="0" applyFont="1" applyBorder="1" applyAlignment="1">
      <alignment horizontal="left" vertical="center" wrapText="1" indent="1"/>
    </xf>
    <xf numFmtId="3" fontId="39" fillId="0" borderId="22" xfId="0" applyNumberFormat="1" applyFont="1" applyBorder="1" applyAlignment="1">
      <alignment horizontal="center" vertical="center"/>
    </xf>
    <xf numFmtId="0" fontId="40" fillId="0" borderId="24" xfId="0" applyFont="1" applyBorder="1" applyAlignment="1">
      <alignment horizontal="left" vertical="center" wrapText="1" indent="1"/>
    </xf>
    <xf numFmtId="3" fontId="40" fillId="0" borderId="22" xfId="0" applyNumberFormat="1" applyFont="1" applyBorder="1" applyAlignment="1">
      <alignment horizontal="center" vertical="center"/>
    </xf>
    <xf numFmtId="165" fontId="40" fillId="0" borderId="22" xfId="0" applyNumberFormat="1" applyFont="1" applyBorder="1" applyAlignment="1">
      <alignment horizontal="center" vertical="center"/>
    </xf>
    <xf numFmtId="0" fontId="30" fillId="0" borderId="24" xfId="0" applyFont="1" applyBorder="1" applyAlignment="1">
      <alignment horizontal="left" vertical="center" wrapText="1" indent="1"/>
    </xf>
    <xf numFmtId="0" fontId="31" fillId="33" borderId="24" xfId="0" applyFont="1" applyFill="1" applyBorder="1" applyAlignment="1">
      <alignment vertical="center" wrapText="1"/>
    </xf>
    <xf numFmtId="0" fontId="31" fillId="33" borderId="19" xfId="0" applyFont="1" applyFill="1" applyBorder="1" applyAlignment="1">
      <alignment horizontal="center" vertical="center" wrapText="1"/>
    </xf>
    <xf numFmtId="0" fontId="31" fillId="33" borderId="22" xfId="0" applyFont="1" applyFill="1" applyBorder="1" applyAlignment="1">
      <alignment horizontal="center" vertical="center" wrapText="1"/>
    </xf>
    <xf numFmtId="9" fontId="31" fillId="0" borderId="22" xfId="0" applyNumberFormat="1" applyFont="1" applyFill="1" applyBorder="1" applyAlignment="1">
      <alignment horizontal="center" vertical="center" wrapText="1"/>
    </xf>
    <xf numFmtId="0" fontId="31" fillId="0" borderId="24" xfId="0" applyFont="1" applyFill="1" applyBorder="1" applyAlignment="1">
      <alignment horizontal="left" vertical="center" wrapText="1"/>
    </xf>
    <xf numFmtId="0" fontId="30" fillId="35" borderId="24" xfId="0" applyFont="1" applyFill="1" applyBorder="1" applyAlignment="1">
      <alignment vertical="center" wrapText="1"/>
    </xf>
    <xf numFmtId="9" fontId="31" fillId="35" borderId="22" xfId="0" applyNumberFormat="1" applyFont="1" applyFill="1" applyBorder="1" applyAlignment="1">
      <alignment horizontal="center" vertical="center" wrapText="1"/>
    </xf>
    <xf numFmtId="165" fontId="31" fillId="33" borderId="22" xfId="0" applyNumberFormat="1" applyFont="1" applyFill="1" applyBorder="1" applyAlignment="1">
      <alignment horizontal="center" vertical="center" wrapText="1"/>
    </xf>
    <xf numFmtId="3" fontId="31" fillId="0" borderId="22" xfId="0" applyNumberFormat="1" applyFont="1" applyBorder="1" applyAlignment="1">
      <alignment horizontal="center" vertical="center" wrapText="1"/>
    </xf>
    <xf numFmtId="3" fontId="34" fillId="0" borderId="22" xfId="0" applyNumberFormat="1" applyFont="1" applyBorder="1" applyAlignment="1">
      <alignment horizontal="center" vertical="center" wrapText="1"/>
    </xf>
    <xf numFmtId="3" fontId="31" fillId="0" borderId="22" xfId="0" applyNumberFormat="1" applyFont="1" applyFill="1" applyBorder="1" applyAlignment="1">
      <alignment horizontal="center" vertical="center" wrapText="1"/>
    </xf>
    <xf numFmtId="0" fontId="35" fillId="0" borderId="28" xfId="0" applyFont="1" applyBorder="1" applyAlignment="1">
      <alignment horizontal="left" vertical="center" wrapText="1" indent="1"/>
    </xf>
    <xf numFmtId="0" fontId="31" fillId="35" borderId="29" xfId="0" applyFont="1" applyFill="1" applyBorder="1" applyAlignment="1">
      <alignment horizontal="left" vertical="center" wrapText="1"/>
    </xf>
    <xf numFmtId="0" fontId="29" fillId="0" borderId="24" xfId="0" applyFont="1" applyBorder="1" applyAlignment="1">
      <alignment horizontal="left" vertical="center" wrapText="1"/>
    </xf>
    <xf numFmtId="0" fontId="35" fillId="0" borderId="15" xfId="0" applyFont="1" applyBorder="1" applyAlignment="1">
      <alignment horizontal="left" vertical="center" wrapText="1"/>
    </xf>
    <xf numFmtId="0" fontId="30" fillId="35" borderId="13" xfId="0" applyFont="1" applyFill="1" applyBorder="1" applyAlignment="1">
      <alignment vertical="center" wrapText="1"/>
    </xf>
    <xf numFmtId="2" fontId="31" fillId="35" borderId="22" xfId="0" applyNumberFormat="1" applyFont="1" applyFill="1" applyBorder="1" applyAlignment="1">
      <alignment horizontal="center" vertical="center" wrapText="1"/>
    </xf>
    <xf numFmtId="0" fontId="31" fillId="0" borderId="22" xfId="0" applyNumberFormat="1" applyFont="1" applyFill="1" applyBorder="1" applyAlignment="1">
      <alignment horizontal="center" vertical="center" wrapText="1"/>
    </xf>
    <xf numFmtId="2" fontId="31" fillId="0" borderId="22" xfId="0" applyNumberFormat="1" applyFont="1" applyFill="1" applyBorder="1" applyAlignment="1">
      <alignment horizontal="center" vertical="center" wrapText="1"/>
    </xf>
    <xf numFmtId="0" fontId="36" fillId="34" borderId="27" xfId="0" applyFont="1" applyFill="1" applyBorder="1" applyAlignment="1">
      <alignment vertical="center" wrapText="1"/>
    </xf>
    <xf numFmtId="0" fontId="35" fillId="0" borderId="27" xfId="0" applyFont="1" applyBorder="1" applyAlignment="1">
      <alignment horizontal="left" vertical="center" wrapText="1"/>
    </xf>
    <xf numFmtId="3" fontId="34" fillId="0" borderId="21" xfId="0" applyNumberFormat="1" applyFont="1" applyBorder="1" applyAlignment="1">
      <alignment horizontal="center" vertical="center" wrapText="1"/>
    </xf>
    <xf numFmtId="0" fontId="30" fillId="35" borderId="30" xfId="0" applyFont="1" applyFill="1" applyBorder="1" applyAlignment="1">
      <alignment vertical="center" wrapText="1"/>
    </xf>
    <xf numFmtId="0" fontId="29" fillId="0" borderId="15" xfId="0" applyFont="1" applyBorder="1" applyAlignment="1">
      <alignment horizontal="left" vertical="center" wrapText="1" indent="1"/>
    </xf>
    <xf numFmtId="0" fontId="30" fillId="0" borderId="27" xfId="0" applyFont="1" applyBorder="1" applyAlignment="1">
      <alignment horizontal="left" vertical="center" wrapText="1" indent="1"/>
    </xf>
    <xf numFmtId="3" fontId="42" fillId="0" borderId="22" xfId="0" applyNumberFormat="1" applyFont="1" applyBorder="1" applyAlignment="1">
      <alignment horizontal="center" vertical="center"/>
    </xf>
    <xf numFmtId="3" fontId="34" fillId="0" borderId="22" xfId="0" applyNumberFormat="1" applyFont="1" applyFill="1" applyBorder="1" applyAlignment="1">
      <alignment horizontal="center" vertical="center" wrapText="1"/>
    </xf>
    <xf numFmtId="0" fontId="30" fillId="0" borderId="15" xfId="0" applyFont="1" applyBorder="1" applyAlignment="1">
      <alignment horizontal="left" vertical="center" wrapText="1"/>
    </xf>
    <xf numFmtId="3" fontId="32" fillId="0" borderId="22" xfId="0" applyNumberFormat="1" applyFont="1" applyBorder="1" applyAlignment="1">
      <alignment horizontal="center" vertical="center" wrapText="1"/>
    </xf>
    <xf numFmtId="0" fontId="31" fillId="33" borderId="19" xfId="0" applyFont="1" applyFill="1" applyBorder="1" applyAlignment="1">
      <alignment horizontal="center" vertical="center" wrapText="1"/>
    </xf>
    <xf numFmtId="0" fontId="31" fillId="33" borderId="22" xfId="0" applyFont="1" applyFill="1" applyBorder="1" applyAlignment="1">
      <alignment horizontal="center" vertical="center" wrapText="1"/>
    </xf>
    <xf numFmtId="3" fontId="32" fillId="34" borderId="22" xfId="0" applyNumberFormat="1" applyFont="1" applyFill="1" applyBorder="1" applyAlignment="1">
      <alignment horizontal="center" vertical="center" wrapText="1"/>
    </xf>
    <xf numFmtId="3" fontId="32" fillId="35" borderId="22" xfId="0" applyNumberFormat="1" applyFont="1" applyFill="1" applyBorder="1" applyAlignment="1">
      <alignment horizontal="center" vertical="center"/>
    </xf>
    <xf numFmtId="0" fontId="43" fillId="33" borderId="24" xfId="0" applyFont="1" applyFill="1" applyBorder="1" applyAlignment="1">
      <alignment vertical="center" wrapText="1"/>
    </xf>
    <xf numFmtId="3" fontId="42" fillId="33" borderId="22" xfId="0" applyNumberFormat="1" applyFont="1" applyFill="1" applyBorder="1" applyAlignment="1">
      <alignment horizontal="center" vertical="center"/>
    </xf>
    <xf numFmtId="165" fontId="42" fillId="0" borderId="22" xfId="0" applyNumberFormat="1" applyFont="1" applyBorder="1" applyAlignment="1">
      <alignment horizontal="center" vertical="center"/>
    </xf>
    <xf numFmtId="0" fontId="44" fillId="0" borderId="24" xfId="0" applyFont="1" applyBorder="1" applyAlignment="1">
      <alignment horizontal="left" vertical="center" wrapText="1" indent="1"/>
    </xf>
    <xf numFmtId="165" fontId="34" fillId="0" borderId="22" xfId="0" applyNumberFormat="1" applyFont="1" applyBorder="1" applyAlignment="1">
      <alignment horizontal="center" vertical="center"/>
    </xf>
    <xf numFmtId="0" fontId="28" fillId="33" borderId="13" xfId="0" applyFont="1" applyFill="1" applyBorder="1" applyAlignment="1">
      <alignment vertical="center" wrapText="1"/>
    </xf>
    <xf numFmtId="0" fontId="30" fillId="33" borderId="24" xfId="0" applyFont="1" applyFill="1" applyBorder="1" applyAlignment="1">
      <alignment vertical="center" wrapText="1"/>
    </xf>
    <xf numFmtId="0" fontId="32" fillId="33" borderId="24" xfId="0" applyFont="1" applyFill="1" applyBorder="1" applyAlignment="1">
      <alignment horizontal="left" vertical="center" wrapText="1"/>
    </xf>
    <xf numFmtId="3" fontId="32" fillId="33" borderId="24" xfId="0" applyNumberFormat="1" applyFont="1" applyFill="1" applyBorder="1" applyAlignment="1">
      <alignment horizontal="center" vertical="center" wrapText="1"/>
    </xf>
    <xf numFmtId="0" fontId="30" fillId="33" borderId="24" xfId="0" applyFont="1" applyFill="1" applyBorder="1" applyAlignment="1">
      <alignment horizontal="left" vertical="center" wrapText="1" indent="1"/>
    </xf>
    <xf numFmtId="0" fontId="43" fillId="33" borderId="15" xfId="0" applyFont="1" applyFill="1" applyBorder="1" applyAlignment="1">
      <alignment horizontal="left" vertical="center" wrapText="1" indent="1"/>
    </xf>
    <xf numFmtId="3" fontId="32" fillId="33" borderId="22" xfId="0" applyNumberFormat="1" applyFont="1" applyFill="1" applyBorder="1" applyAlignment="1">
      <alignment horizontal="center" vertical="center"/>
    </xf>
    <xf numFmtId="0" fontId="32" fillId="33" borderId="24" xfId="0" applyFont="1" applyFill="1" applyBorder="1" applyAlignment="1">
      <alignment vertical="center" wrapText="1"/>
    </xf>
    <xf numFmtId="0" fontId="32" fillId="33" borderId="27" xfId="0" applyFont="1" applyFill="1" applyBorder="1" applyAlignment="1">
      <alignment horizontal="left" vertical="center" wrapText="1"/>
    </xf>
    <xf numFmtId="0" fontId="43" fillId="33" borderId="27" xfId="0" applyFont="1" applyFill="1" applyBorder="1" applyAlignment="1">
      <alignment horizontal="left" vertical="center" wrapText="1" indent="1"/>
    </xf>
    <xf numFmtId="0" fontId="32" fillId="33" borderId="13" xfId="0" applyFont="1" applyFill="1" applyBorder="1" applyAlignment="1">
      <alignment horizontal="left" vertical="center" wrapText="1"/>
    </xf>
    <xf numFmtId="3" fontId="42" fillId="33" borderId="21" xfId="0" applyNumberFormat="1" applyFont="1" applyFill="1" applyBorder="1" applyAlignment="1">
      <alignment horizontal="center" vertical="center"/>
    </xf>
    <xf numFmtId="0" fontId="30" fillId="33" borderId="13" xfId="0" applyFont="1" applyFill="1" applyBorder="1" applyAlignment="1">
      <alignment vertical="center" wrapText="1"/>
    </xf>
    <xf numFmtId="0" fontId="31" fillId="33" borderId="27" xfId="0" applyFont="1" applyFill="1" applyBorder="1" applyAlignment="1">
      <alignment horizontal="center" vertical="center" wrapText="1"/>
    </xf>
    <xf numFmtId="3" fontId="29" fillId="33" borderId="27" xfId="0" applyNumberFormat="1" applyFont="1" applyFill="1" applyBorder="1" applyAlignment="1">
      <alignment horizontal="center" vertical="center" wrapText="1"/>
    </xf>
    <xf numFmtId="0" fontId="31" fillId="33" borderId="27" xfId="0" applyFont="1" applyFill="1" applyBorder="1" applyAlignment="1">
      <alignment horizontal="left" vertical="center" wrapText="1"/>
    </xf>
    <xf numFmtId="0" fontId="29" fillId="33" borderId="27" xfId="0" applyFont="1" applyFill="1" applyBorder="1" applyAlignment="1">
      <alignment horizontal="center" vertical="center" wrapText="1"/>
    </xf>
    <xf numFmtId="0" fontId="33" fillId="35" borderId="27" xfId="0" applyFont="1" applyFill="1" applyBorder="1" applyAlignment="1">
      <alignment horizontal="left" vertical="center" wrapText="1"/>
    </xf>
    <xf numFmtId="0" fontId="32" fillId="33" borderId="27" xfId="0" applyFont="1" applyFill="1" applyBorder="1" applyAlignment="1">
      <alignment horizontal="center" vertical="center" wrapText="1"/>
    </xf>
    <xf numFmtId="165" fontId="29" fillId="33" borderId="27" xfId="0" applyNumberFormat="1" applyFont="1" applyFill="1" applyBorder="1" applyAlignment="1">
      <alignment horizontal="center" vertical="center"/>
    </xf>
    <xf numFmtId="0" fontId="29" fillId="0" borderId="27" xfId="0" applyFont="1" applyBorder="1" applyAlignment="1">
      <alignment horizontal="left" vertical="center" wrapText="1" indent="1"/>
    </xf>
    <xf numFmtId="3" fontId="18" fillId="0" borderId="27" xfId="0" applyNumberFormat="1" applyFont="1" applyBorder="1" applyAlignment="1">
      <alignment horizontal="center" vertical="center"/>
    </xf>
    <xf numFmtId="3" fontId="18" fillId="0" borderId="27" xfId="0" applyNumberFormat="1" applyFont="1" applyBorder="1" applyAlignment="1">
      <alignment horizontal="center" vertical="center" wrapText="1"/>
    </xf>
    <xf numFmtId="3" fontId="47" fillId="0" borderId="27" xfId="0" applyNumberFormat="1" applyFont="1" applyBorder="1" applyAlignment="1">
      <alignment horizontal="center" vertical="center"/>
    </xf>
    <xf numFmtId="3" fontId="34" fillId="0" borderId="27" xfId="0" applyNumberFormat="1" applyFont="1" applyBorder="1" applyAlignment="1">
      <alignment horizontal="center" vertical="center"/>
    </xf>
    <xf numFmtId="3" fontId="31" fillId="0" borderId="27" xfId="0" applyNumberFormat="1" applyFont="1" applyBorder="1" applyAlignment="1">
      <alignment horizontal="center" vertical="center"/>
    </xf>
    <xf numFmtId="3" fontId="31" fillId="0" borderId="27" xfId="0" applyNumberFormat="1" applyFont="1" applyBorder="1" applyAlignment="1">
      <alignment horizontal="center" vertical="center" wrapText="1"/>
    </xf>
    <xf numFmtId="0" fontId="35" fillId="0" borderId="27" xfId="0" applyFont="1" applyBorder="1" applyAlignment="1">
      <alignment horizontal="left" vertical="center" wrapText="1" indent="1"/>
    </xf>
    <xf numFmtId="3" fontId="18" fillId="34" borderId="27" xfId="0" applyNumberFormat="1" applyFont="1" applyFill="1" applyBorder="1" applyAlignment="1">
      <alignment horizontal="center" vertical="center"/>
    </xf>
    <xf numFmtId="0" fontId="33" fillId="35" borderId="27" xfId="0" applyFont="1" applyFill="1" applyBorder="1" applyAlignment="1">
      <alignment vertical="center" wrapText="1"/>
    </xf>
    <xf numFmtId="3" fontId="31" fillId="33" borderId="27" xfId="0" applyNumberFormat="1" applyFont="1" applyFill="1" applyBorder="1" applyAlignment="1">
      <alignment horizontal="center" vertical="center" wrapText="1"/>
    </xf>
    <xf numFmtId="165" fontId="31" fillId="33" borderId="27" xfId="0" applyNumberFormat="1" applyFont="1" applyFill="1" applyBorder="1" applyAlignment="1">
      <alignment horizontal="center" vertical="center"/>
    </xf>
    <xf numFmtId="165" fontId="31" fillId="33" borderId="27" xfId="0" applyNumberFormat="1" applyFont="1" applyFill="1" applyBorder="1" applyAlignment="1">
      <alignment horizontal="center" vertical="center" wrapText="1"/>
    </xf>
    <xf numFmtId="0" fontId="36" fillId="0" borderId="27" xfId="0" applyFont="1" applyBorder="1" applyAlignment="1">
      <alignment horizontal="left" vertical="center" wrapText="1" indent="1"/>
    </xf>
    <xf numFmtId="3" fontId="32" fillId="34" borderId="27" xfId="0" applyNumberFormat="1" applyFont="1" applyFill="1" applyBorder="1" applyAlignment="1">
      <alignment horizontal="center" vertical="center"/>
    </xf>
    <xf numFmtId="0" fontId="31" fillId="35" borderId="27" xfId="0" applyFont="1" applyFill="1" applyBorder="1" applyAlignment="1">
      <alignment horizontal="left" vertical="center" wrapText="1"/>
    </xf>
    <xf numFmtId="3" fontId="18" fillId="33" borderId="27" xfId="0" applyNumberFormat="1" applyFont="1" applyFill="1" applyBorder="1" applyAlignment="1">
      <alignment horizontal="center" vertical="center" wrapText="1"/>
    </xf>
    <xf numFmtId="165" fontId="18" fillId="33" borderId="27" xfId="0" applyNumberFormat="1" applyFont="1" applyFill="1" applyBorder="1" applyAlignment="1">
      <alignment horizontal="center" vertical="center"/>
    </xf>
    <xf numFmtId="165" fontId="18" fillId="33" borderId="27" xfId="0" applyNumberFormat="1" applyFont="1" applyFill="1" applyBorder="1" applyAlignment="1">
      <alignment horizontal="center" vertical="center" wrapText="1"/>
    </xf>
    <xf numFmtId="0" fontId="18" fillId="0" borderId="27" xfId="0" applyFont="1" applyBorder="1" applyAlignment="1">
      <alignment horizontal="left" vertical="center" wrapText="1"/>
    </xf>
    <xf numFmtId="0" fontId="48" fillId="0" borderId="27" xfId="0" applyFont="1" applyBorder="1" applyAlignment="1">
      <alignment horizontal="left" vertical="center" wrapText="1"/>
    </xf>
    <xf numFmtId="0" fontId="31" fillId="33" borderId="27" xfId="0" applyFont="1" applyFill="1" applyBorder="1" applyAlignment="1">
      <alignment vertical="center" wrapText="1"/>
    </xf>
    <xf numFmtId="0" fontId="31" fillId="33" borderId="27" xfId="0" applyFont="1" applyFill="1" applyBorder="1" applyAlignment="1">
      <alignment horizontal="left" vertical="center" wrapText="1"/>
    </xf>
    <xf numFmtId="0" fontId="29" fillId="33" borderId="27" xfId="0" applyFont="1" applyFill="1" applyBorder="1" applyAlignment="1">
      <alignment horizontal="left" vertical="center" wrapText="1"/>
    </xf>
    <xf numFmtId="3" fontId="31" fillId="0" borderId="35" xfId="0" applyNumberFormat="1" applyFont="1" applyBorder="1" applyAlignment="1">
      <alignment horizontal="center" vertical="center"/>
    </xf>
    <xf numFmtId="3" fontId="34" fillId="0" borderId="35" xfId="0" applyNumberFormat="1" applyFont="1" applyBorder="1" applyAlignment="1">
      <alignment horizontal="center" vertical="center"/>
    </xf>
    <xf numFmtId="0" fontId="18" fillId="33" borderId="19" xfId="0" applyFont="1" applyFill="1" applyBorder="1" applyAlignment="1">
      <alignment horizontal="center" vertical="center" wrapText="1"/>
    </xf>
    <xf numFmtId="0" fontId="18" fillId="33" borderId="22" xfId="0" applyFont="1" applyFill="1" applyBorder="1" applyAlignment="1">
      <alignment horizontal="center" vertical="center" wrapText="1"/>
    </xf>
    <xf numFmtId="0" fontId="31" fillId="33" borderId="22" xfId="0" applyNumberFormat="1" applyFont="1" applyFill="1" applyBorder="1" applyAlignment="1">
      <alignment horizontal="center" vertical="center"/>
    </xf>
    <xf numFmtId="0" fontId="50" fillId="33" borderId="27" xfId="48" applyFont="1" applyFill="1" applyBorder="1" applyAlignment="1">
      <alignment horizontal="left" vertical="center" wrapText="1"/>
    </xf>
    <xf numFmtId="0" fontId="50" fillId="33" borderId="27" xfId="1" applyFont="1" applyFill="1" applyBorder="1" applyAlignment="1">
      <alignment horizontal="left" vertical="center" wrapText="1"/>
    </xf>
    <xf numFmtId="0" fontId="50" fillId="33" borderId="27" xfId="59" applyFont="1" applyFill="1" applyBorder="1" applyAlignment="1">
      <alignment horizontal="left" vertical="center" wrapText="1"/>
    </xf>
    <xf numFmtId="0" fontId="50" fillId="33" borderId="27" xfId="60" applyFont="1" applyFill="1" applyBorder="1" applyAlignment="1">
      <alignment horizontal="left" vertical="center" wrapText="1"/>
    </xf>
    <xf numFmtId="0" fontId="30" fillId="35" borderId="16" xfId="0" applyFont="1" applyFill="1" applyBorder="1" applyAlignment="1">
      <alignment vertical="center" wrapText="1"/>
    </xf>
    <xf numFmtId="1" fontId="31" fillId="33" borderId="22" xfId="0" applyNumberFormat="1" applyFont="1" applyFill="1" applyBorder="1" applyAlignment="1">
      <alignment horizontal="center" vertical="center"/>
    </xf>
    <xf numFmtId="0" fontId="33" fillId="33" borderId="24" xfId="0" applyFont="1" applyFill="1" applyBorder="1" applyAlignment="1">
      <alignment horizontal="left" vertical="center" wrapText="1"/>
    </xf>
    <xf numFmtId="3" fontId="31" fillId="0" borderId="24" xfId="0" applyNumberFormat="1" applyFont="1" applyFill="1" applyBorder="1" applyAlignment="1">
      <alignment horizontal="center" vertical="center" wrapText="1"/>
    </xf>
    <xf numFmtId="0" fontId="29" fillId="33" borderId="24" xfId="0" applyFont="1" applyFill="1" applyBorder="1" applyAlignment="1">
      <alignment horizontal="left" vertical="center" wrapText="1" indent="1"/>
    </xf>
    <xf numFmtId="3" fontId="31" fillId="33" borderId="22" xfId="0" applyNumberFormat="1" applyFont="1" applyFill="1" applyBorder="1" applyAlignment="1">
      <alignment horizontal="center" vertical="center"/>
    </xf>
    <xf numFmtId="0" fontId="44" fillId="33" borderId="24" xfId="0" applyFont="1" applyFill="1" applyBorder="1" applyAlignment="1">
      <alignment horizontal="left" vertical="center" wrapText="1" indent="1"/>
    </xf>
    <xf numFmtId="3" fontId="34" fillId="33" borderId="22" xfId="0" applyNumberFormat="1" applyFont="1" applyFill="1" applyBorder="1" applyAlignment="1">
      <alignment horizontal="center" vertical="center"/>
    </xf>
    <xf numFmtId="9" fontId="34" fillId="33" borderId="22" xfId="44" applyFont="1" applyFill="1" applyBorder="1" applyAlignment="1">
      <alignment horizontal="center" vertical="center"/>
    </xf>
    <xf numFmtId="165" fontId="34" fillId="33" borderId="22" xfId="0" applyNumberFormat="1" applyFont="1" applyFill="1" applyBorder="1" applyAlignment="1">
      <alignment horizontal="center" vertical="center"/>
    </xf>
    <xf numFmtId="0" fontId="30" fillId="0" borderId="24" xfId="0" applyFont="1" applyFill="1" applyBorder="1" applyAlignment="1">
      <alignment vertical="center" wrapText="1"/>
    </xf>
    <xf numFmtId="0" fontId="31" fillId="0" borderId="15" xfId="0" applyFont="1" applyFill="1" applyBorder="1" applyAlignment="1">
      <alignment vertical="center" wrapText="1"/>
    </xf>
    <xf numFmtId="1" fontId="31" fillId="0" borderId="19" xfId="0" applyNumberFormat="1" applyFont="1" applyFill="1" applyBorder="1" applyAlignment="1">
      <alignment horizontal="center" vertical="center"/>
    </xf>
    <xf numFmtId="0" fontId="31" fillId="0" borderId="27" xfId="0" applyFont="1" applyFill="1" applyBorder="1" applyAlignment="1">
      <alignment vertical="center" wrapText="1"/>
    </xf>
    <xf numFmtId="1" fontId="31" fillId="0" borderId="27" xfId="0" applyNumberFormat="1" applyFont="1" applyFill="1" applyBorder="1" applyAlignment="1">
      <alignment horizontal="center" vertical="center"/>
    </xf>
    <xf numFmtId="0" fontId="31" fillId="0" borderId="27" xfId="0" applyFont="1" applyFill="1" applyBorder="1" applyAlignment="1">
      <alignment horizontal="left" vertical="center" wrapText="1"/>
    </xf>
    <xf numFmtId="9" fontId="31" fillId="0" borderId="27" xfId="0" applyNumberFormat="1" applyFont="1" applyFill="1" applyBorder="1" applyAlignment="1">
      <alignment horizontal="center" vertical="center"/>
    </xf>
    <xf numFmtId="0" fontId="31" fillId="0" borderId="38" xfId="0" applyFont="1" applyFill="1" applyBorder="1" applyAlignment="1">
      <alignment vertical="center" wrapText="1"/>
    </xf>
    <xf numFmtId="1" fontId="31" fillId="0" borderId="22" xfId="0" applyNumberFormat="1" applyFont="1" applyFill="1" applyBorder="1" applyAlignment="1">
      <alignment horizontal="center" vertical="center"/>
    </xf>
    <xf numFmtId="0" fontId="32" fillId="0" borderId="19"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33" fillId="0" borderId="24" xfId="0" applyFont="1" applyFill="1" applyBorder="1" applyAlignment="1">
      <alignment horizontal="left" vertical="center" wrapText="1"/>
    </xf>
    <xf numFmtId="3" fontId="31" fillId="0" borderId="22" xfId="0" applyNumberFormat="1" applyFont="1" applyFill="1" applyBorder="1" applyAlignment="1">
      <alignment horizontal="center" vertical="center"/>
    </xf>
    <xf numFmtId="0" fontId="31" fillId="0" borderId="24" xfId="0" applyFont="1" applyFill="1" applyBorder="1" applyAlignment="1">
      <alignment horizontal="center" vertical="center" wrapText="1"/>
    </xf>
    <xf numFmtId="165" fontId="31" fillId="0" borderId="22" xfId="0" applyNumberFormat="1" applyFont="1" applyFill="1" applyBorder="1" applyAlignment="1">
      <alignment horizontal="center" vertical="center"/>
    </xf>
    <xf numFmtId="0" fontId="29" fillId="0" borderId="24" xfId="0" applyFont="1" applyFill="1" applyBorder="1" applyAlignment="1">
      <alignment horizontal="left" vertical="center" wrapText="1" indent="1"/>
    </xf>
    <xf numFmtId="0" fontId="44" fillId="0" borderId="24" xfId="0" applyFont="1" applyFill="1" applyBorder="1" applyAlignment="1">
      <alignment horizontal="left" vertical="center" wrapText="1" indent="1"/>
    </xf>
    <xf numFmtId="3" fontId="34" fillId="0" borderId="22" xfId="0" applyNumberFormat="1" applyFont="1" applyFill="1" applyBorder="1" applyAlignment="1">
      <alignment horizontal="center" vertical="center"/>
    </xf>
    <xf numFmtId="165" fontId="34" fillId="0" borderId="22" xfId="0" applyNumberFormat="1" applyFont="1" applyFill="1" applyBorder="1" applyAlignment="1">
      <alignment horizontal="center" vertical="center"/>
    </xf>
    <xf numFmtId="0" fontId="36" fillId="0" borderId="24" xfId="0" applyFont="1" applyFill="1" applyBorder="1" applyAlignment="1">
      <alignment vertical="center" wrapText="1"/>
    </xf>
    <xf numFmtId="0" fontId="31" fillId="0" borderId="24" xfId="0" applyFont="1" applyFill="1" applyBorder="1" applyAlignment="1">
      <alignment vertical="center" wrapText="1"/>
    </xf>
    <xf numFmtId="0" fontId="31" fillId="0" borderId="21" xfId="0" applyFont="1" applyFill="1" applyBorder="1" applyAlignment="1">
      <alignment horizontal="center" vertical="center"/>
    </xf>
    <xf numFmtId="0" fontId="31" fillId="0" borderId="22" xfId="0" applyFont="1" applyFill="1" applyBorder="1" applyAlignment="1">
      <alignment horizontal="center" vertical="center"/>
    </xf>
    <xf numFmtId="0" fontId="31" fillId="0" borderId="19" xfId="0" applyFont="1" applyFill="1" applyBorder="1" applyAlignment="1">
      <alignment horizontal="center" vertical="center" wrapText="1"/>
    </xf>
    <xf numFmtId="0" fontId="31" fillId="0" borderId="22" xfId="0" applyFont="1" applyFill="1" applyBorder="1" applyAlignment="1">
      <alignment horizontal="center" vertical="center" wrapText="1"/>
    </xf>
    <xf numFmtId="9" fontId="31" fillId="0" borderId="22" xfId="0" applyNumberFormat="1" applyFont="1" applyFill="1" applyBorder="1" applyAlignment="1">
      <alignment horizontal="center" vertical="center"/>
    </xf>
    <xf numFmtId="9" fontId="51" fillId="0" borderId="22" xfId="0" applyNumberFormat="1" applyFont="1" applyFill="1" applyBorder="1" applyAlignment="1">
      <alignment horizontal="center" vertical="center"/>
    </xf>
    <xf numFmtId="0" fontId="31" fillId="35" borderId="24" xfId="0" applyFont="1" applyFill="1" applyBorder="1" applyAlignment="1">
      <alignment vertical="center" wrapText="1"/>
    </xf>
    <xf numFmtId="0" fontId="36" fillId="0" borderId="15" xfId="0" applyFont="1" applyBorder="1" applyAlignment="1">
      <alignment horizontal="left" vertical="center" wrapText="1" indent="1"/>
    </xf>
    <xf numFmtId="0" fontId="31" fillId="35" borderId="13" xfId="0" applyFont="1" applyFill="1" applyBorder="1" applyAlignment="1">
      <alignment horizontal="left" vertical="center" wrapText="1"/>
    </xf>
    <xf numFmtId="0" fontId="31" fillId="33" borderId="24" xfId="0" applyFont="1" applyFill="1" applyBorder="1" applyAlignment="1">
      <alignment wrapText="1"/>
    </xf>
    <xf numFmtId="0" fontId="33" fillId="35" borderId="24" xfId="0" applyFont="1" applyFill="1" applyBorder="1" applyAlignment="1">
      <alignment vertical="center" wrapText="1"/>
    </xf>
    <xf numFmtId="0" fontId="18" fillId="0" borderId="27" xfId="0" applyFont="1" applyFill="1" applyBorder="1" applyAlignment="1">
      <alignment horizontal="center" vertical="center" wrapText="1"/>
    </xf>
    <xf numFmtId="0" fontId="18" fillId="33" borderId="27" xfId="0" applyFont="1" applyFill="1" applyBorder="1" applyAlignment="1">
      <alignment horizontal="center" vertical="center" wrapText="1"/>
    </xf>
    <xf numFmtId="3" fontId="18" fillId="0" borderId="22" xfId="0" applyNumberFormat="1" applyFont="1" applyBorder="1" applyAlignment="1">
      <alignment horizontal="center" vertical="center"/>
    </xf>
    <xf numFmtId="3" fontId="47" fillId="0" borderId="22" xfId="0" applyNumberFormat="1" applyFont="1" applyBorder="1" applyAlignment="1">
      <alignment horizontal="center" vertical="center"/>
    </xf>
    <xf numFmtId="3" fontId="18" fillId="34" borderId="22" xfId="0" applyNumberFormat="1" applyFont="1" applyFill="1" applyBorder="1" applyAlignment="1">
      <alignment horizontal="center" vertical="center"/>
    </xf>
    <xf numFmtId="3" fontId="18" fillId="33" borderId="24" xfId="0" applyNumberFormat="1" applyFont="1" applyFill="1" applyBorder="1" applyAlignment="1">
      <alignment horizontal="center" vertical="center" wrapText="1"/>
    </xf>
    <xf numFmtId="0" fontId="18" fillId="0" borderId="24" xfId="0" applyFont="1" applyBorder="1" applyAlignment="1">
      <alignment horizontal="left" vertical="center" wrapText="1"/>
    </xf>
    <xf numFmtId="0" fontId="48" fillId="0" borderId="15" xfId="0" applyFont="1" applyBorder="1" applyAlignment="1">
      <alignment horizontal="left" vertical="center" wrapText="1"/>
    </xf>
    <xf numFmtId="0" fontId="0" fillId="0" borderId="0" xfId="0" applyAlignment="1">
      <alignment vertical="top"/>
    </xf>
    <xf numFmtId="3" fontId="31" fillId="0" borderId="19" xfId="0" applyNumberFormat="1" applyFont="1" applyBorder="1" applyAlignment="1">
      <alignment horizontal="center" vertical="center"/>
    </xf>
    <xf numFmtId="0" fontId="18" fillId="33" borderId="24" xfId="0" applyFont="1" applyFill="1" applyBorder="1" applyAlignment="1">
      <alignment horizontal="left" vertical="center" wrapText="1"/>
    </xf>
    <xf numFmtId="3" fontId="31" fillId="33" borderId="24" xfId="0" applyNumberFormat="1" applyFont="1" applyFill="1" applyBorder="1" applyAlignment="1">
      <alignment horizontal="center" vertical="center"/>
    </xf>
    <xf numFmtId="0" fontId="29" fillId="0" borderId="39" xfId="0" applyFont="1" applyBorder="1" applyAlignment="1">
      <alignment horizontal="left" vertical="center" wrapText="1" indent="1"/>
    </xf>
    <xf numFmtId="0" fontId="29" fillId="33" borderId="19" xfId="0" applyFont="1" applyFill="1" applyBorder="1" applyAlignment="1">
      <alignment horizontal="center" vertical="center" wrapText="1"/>
    </xf>
    <xf numFmtId="0" fontId="29" fillId="33" borderId="22" xfId="0" applyFont="1" applyFill="1" applyBorder="1" applyAlignment="1">
      <alignment horizontal="center" vertical="center" wrapText="1"/>
    </xf>
    <xf numFmtId="9" fontId="29" fillId="33" borderId="22" xfId="44" applyFont="1" applyFill="1" applyBorder="1" applyAlignment="1">
      <alignment horizontal="center" vertical="center"/>
    </xf>
    <xf numFmtId="9" fontId="29" fillId="33" borderId="22" xfId="0" applyNumberFormat="1" applyFont="1" applyFill="1" applyBorder="1" applyAlignment="1">
      <alignment horizontal="center" vertical="center"/>
    </xf>
    <xf numFmtId="0" fontId="29" fillId="33" borderId="24" xfId="0" applyFont="1" applyFill="1" applyBorder="1" applyAlignment="1">
      <alignment horizontal="left" vertical="center" wrapText="1"/>
    </xf>
    <xf numFmtId="9" fontId="29" fillId="33" borderId="22" xfId="0" applyNumberFormat="1" applyFont="1" applyFill="1" applyBorder="1" applyAlignment="1">
      <alignment horizontal="center" vertical="center" wrapText="1"/>
    </xf>
    <xf numFmtId="167" fontId="29" fillId="33" borderId="22" xfId="49" applyNumberFormat="1" applyFont="1" applyFill="1" applyBorder="1" applyAlignment="1">
      <alignment horizontal="center" vertical="center"/>
    </xf>
    <xf numFmtId="0" fontId="36" fillId="35" borderId="24" xfId="0" applyFont="1" applyFill="1" applyBorder="1" applyAlignment="1">
      <alignment horizontal="left" vertical="center" wrapText="1"/>
    </xf>
    <xf numFmtId="0" fontId="29" fillId="33" borderId="23" xfId="0" applyFont="1" applyFill="1" applyBorder="1" applyAlignment="1">
      <alignment vertical="center" wrapText="1"/>
    </xf>
    <xf numFmtId="0" fontId="30" fillId="33" borderId="19" xfId="0" applyFont="1" applyFill="1" applyBorder="1" applyAlignment="1">
      <alignment horizontal="center" vertical="center" wrapText="1"/>
    </xf>
    <xf numFmtId="0" fontId="29" fillId="33" borderId="24" xfId="0" applyFont="1" applyFill="1" applyBorder="1" applyAlignment="1">
      <alignment vertical="center" wrapText="1"/>
    </xf>
    <xf numFmtId="0" fontId="30" fillId="33" borderId="22" xfId="0" applyFont="1" applyFill="1" applyBorder="1" applyAlignment="1">
      <alignment horizontal="center" vertical="center" wrapText="1"/>
    </xf>
    <xf numFmtId="3" fontId="29" fillId="33" borderId="24" xfId="0" applyNumberFormat="1" applyFont="1" applyFill="1" applyBorder="1" applyAlignment="1">
      <alignment horizontal="center" vertical="center" wrapText="1"/>
    </xf>
    <xf numFmtId="0" fontId="29" fillId="33" borderId="24" xfId="0" applyFont="1" applyFill="1" applyBorder="1" applyAlignment="1">
      <alignment horizontal="center" vertical="center" wrapText="1"/>
    </xf>
    <xf numFmtId="165" fontId="29" fillId="33" borderId="22" xfId="0" applyNumberFormat="1" applyFont="1" applyFill="1" applyBorder="1" applyAlignment="1">
      <alignment horizontal="center" vertical="center"/>
    </xf>
    <xf numFmtId="3" fontId="29" fillId="0" borderId="22" xfId="0" applyNumberFormat="1" applyFont="1" applyBorder="1" applyAlignment="1">
      <alignment horizontal="center" vertical="center"/>
    </xf>
    <xf numFmtId="3" fontId="44" fillId="0" borderId="22" xfId="0" applyNumberFormat="1" applyFont="1" applyBorder="1" applyAlignment="1">
      <alignment horizontal="center" vertical="center"/>
    </xf>
    <xf numFmtId="3" fontId="30" fillId="34" borderId="22" xfId="0" applyNumberFormat="1" applyFont="1" applyFill="1" applyBorder="1" applyAlignment="1">
      <alignment horizontal="center" vertical="center"/>
    </xf>
    <xf numFmtId="0" fontId="29" fillId="35" borderId="24" xfId="0" applyFont="1" applyFill="1" applyBorder="1" applyAlignment="1">
      <alignment vertical="center" wrapText="1"/>
    </xf>
    <xf numFmtId="0" fontId="29" fillId="33" borderId="20" xfId="0" applyFont="1" applyFill="1" applyBorder="1" applyAlignment="1">
      <alignment horizontal="left" vertical="center" wrapText="1"/>
    </xf>
    <xf numFmtId="0" fontId="29" fillId="33" borderId="21" xfId="0" applyFont="1" applyFill="1" applyBorder="1" applyAlignment="1">
      <alignment horizontal="center" vertical="center" wrapText="1"/>
    </xf>
    <xf numFmtId="165" fontId="29" fillId="33" borderId="21" xfId="0" applyNumberFormat="1" applyFont="1" applyFill="1" applyBorder="1" applyAlignment="1">
      <alignment horizontal="center" vertical="center"/>
    </xf>
    <xf numFmtId="0" fontId="29" fillId="35" borderId="24" xfId="0" applyFont="1" applyFill="1" applyBorder="1" applyAlignment="1">
      <alignment horizontal="left" vertical="center" wrapText="1"/>
    </xf>
    <xf numFmtId="0" fontId="29" fillId="35" borderId="13" xfId="0" applyFont="1" applyFill="1" applyBorder="1" applyAlignment="1">
      <alignment horizontal="left" vertical="center" wrapText="1"/>
    </xf>
    <xf numFmtId="3" fontId="30" fillId="36" borderId="22" xfId="0" applyNumberFormat="1" applyFont="1" applyFill="1" applyBorder="1" applyAlignment="1">
      <alignment horizontal="center" vertical="center"/>
    </xf>
    <xf numFmtId="3" fontId="30" fillId="35" borderId="22" xfId="0" applyNumberFormat="1" applyFont="1" applyFill="1" applyBorder="1" applyAlignment="1">
      <alignment horizontal="center" vertical="center"/>
    </xf>
    <xf numFmtId="3" fontId="43" fillId="33" borderId="22" xfId="0" applyNumberFormat="1" applyFont="1" applyFill="1" applyBorder="1" applyAlignment="1">
      <alignment horizontal="center" vertical="center"/>
    </xf>
    <xf numFmtId="165" fontId="43" fillId="0" borderId="22" xfId="0" applyNumberFormat="1" applyFont="1" applyBorder="1" applyAlignment="1">
      <alignment horizontal="center" vertical="center"/>
    </xf>
    <xf numFmtId="165" fontId="44" fillId="0" borderId="22" xfId="0" applyNumberFormat="1" applyFont="1" applyBorder="1" applyAlignment="1">
      <alignment horizontal="center" vertical="center"/>
    </xf>
    <xf numFmtId="1" fontId="31" fillId="33" borderId="19" xfId="0" applyNumberFormat="1" applyFont="1" applyFill="1" applyBorder="1" applyAlignment="1">
      <alignment horizontal="center" vertical="center"/>
    </xf>
    <xf numFmtId="9" fontId="31" fillId="33" borderId="0" xfId="0" applyNumberFormat="1" applyFont="1" applyFill="1" applyBorder="1" applyAlignment="1">
      <alignment horizontal="center" vertical="center"/>
    </xf>
    <xf numFmtId="9" fontId="31" fillId="33" borderId="27" xfId="0" applyNumberFormat="1" applyFont="1" applyFill="1" applyBorder="1" applyAlignment="1">
      <alignment horizontal="center" vertical="center"/>
    </xf>
    <xf numFmtId="0" fontId="56" fillId="33" borderId="31" xfId="0" applyFont="1" applyFill="1" applyBorder="1" applyAlignment="1">
      <alignment vertical="center" wrapText="1"/>
    </xf>
    <xf numFmtId="9" fontId="56" fillId="33" borderId="32" xfId="0" applyNumberFormat="1" applyFont="1" applyFill="1" applyBorder="1" applyAlignment="1">
      <alignment horizontal="center" vertical="center"/>
    </xf>
    <xf numFmtId="9" fontId="56" fillId="33" borderId="33" xfId="0" applyNumberFormat="1" applyFont="1" applyFill="1" applyBorder="1" applyAlignment="1">
      <alignment horizontal="center" vertical="center"/>
    </xf>
    <xf numFmtId="0" fontId="56" fillId="33" borderId="20" xfId="0" applyFont="1" applyFill="1" applyBorder="1" applyAlignment="1">
      <alignment horizontal="left" vertical="center" wrapText="1"/>
    </xf>
    <xf numFmtId="9" fontId="56" fillId="33" borderId="34" xfId="0" applyNumberFormat="1" applyFont="1" applyFill="1" applyBorder="1" applyAlignment="1">
      <alignment horizontal="center" vertical="center"/>
    </xf>
    <xf numFmtId="9" fontId="56" fillId="33" borderId="22" xfId="0" applyNumberFormat="1" applyFont="1" applyFill="1" applyBorder="1" applyAlignment="1">
      <alignment horizontal="center" vertical="center"/>
    </xf>
    <xf numFmtId="49" fontId="56" fillId="33" borderId="22" xfId="0" applyNumberFormat="1" applyFont="1" applyFill="1" applyBorder="1" applyAlignment="1">
      <alignment horizontal="center" vertical="center"/>
    </xf>
    <xf numFmtId="0" fontId="56" fillId="33" borderId="24" xfId="0" applyFont="1" applyFill="1" applyBorder="1" applyAlignment="1">
      <alignment horizontal="left" vertical="center" wrapText="1"/>
    </xf>
    <xf numFmtId="0" fontId="56" fillId="33" borderId="10" xfId="0" applyFont="1" applyFill="1" applyBorder="1" applyAlignment="1">
      <alignment horizontal="left" vertical="center" wrapText="1"/>
    </xf>
    <xf numFmtId="3" fontId="56" fillId="33" borderId="24" xfId="0" applyNumberFormat="1" applyFont="1" applyFill="1" applyBorder="1" applyAlignment="1">
      <alignment horizontal="center" vertical="center" wrapText="1"/>
    </xf>
    <xf numFmtId="0" fontId="56" fillId="33" borderId="24" xfId="0" applyFont="1" applyFill="1" applyBorder="1" applyAlignment="1">
      <alignment horizontal="center" vertical="center" wrapText="1"/>
    </xf>
    <xf numFmtId="165" fontId="56" fillId="33" borderId="22" xfId="0" applyNumberFormat="1" applyFont="1" applyFill="1" applyBorder="1" applyAlignment="1">
      <alignment horizontal="center" vertical="center"/>
    </xf>
    <xf numFmtId="0" fontId="55" fillId="33" borderId="24" xfId="0" applyFont="1" applyFill="1" applyBorder="1" applyAlignment="1">
      <alignment horizontal="left" vertical="center" wrapText="1" indent="1"/>
    </xf>
    <xf numFmtId="3" fontId="55" fillId="33" borderId="22" xfId="0" applyNumberFormat="1" applyFont="1" applyFill="1" applyBorder="1" applyAlignment="1">
      <alignment horizontal="center" vertical="center"/>
    </xf>
    <xf numFmtId="0" fontId="57" fillId="33" borderId="15" xfId="0" applyFont="1" applyFill="1" applyBorder="1" applyAlignment="1">
      <alignment horizontal="left" vertical="center" wrapText="1" indent="1"/>
    </xf>
    <xf numFmtId="3" fontId="56" fillId="33" borderId="22" xfId="0" applyNumberFormat="1" applyFont="1" applyFill="1" applyBorder="1" applyAlignment="1">
      <alignment horizontal="center" vertical="center"/>
    </xf>
    <xf numFmtId="3" fontId="58" fillId="33" borderId="22" xfId="0" applyNumberFormat="1" applyFont="1" applyFill="1" applyBorder="1" applyAlignment="1">
      <alignment horizontal="center" vertical="center"/>
    </xf>
    <xf numFmtId="0" fontId="55" fillId="33" borderId="15" xfId="0" applyFont="1" applyFill="1" applyBorder="1" applyAlignment="1">
      <alignment horizontal="left" vertical="center" wrapText="1" indent="1"/>
    </xf>
    <xf numFmtId="0" fontId="55" fillId="33" borderId="27" xfId="0" applyFont="1" applyFill="1" applyBorder="1" applyAlignment="1">
      <alignment horizontal="left" vertical="center" wrapText="1" indent="1"/>
    </xf>
    <xf numFmtId="0" fontId="55" fillId="33" borderId="24" xfId="0" applyFont="1" applyFill="1" applyBorder="1" applyAlignment="1">
      <alignment vertical="center" wrapText="1"/>
    </xf>
    <xf numFmtId="0" fontId="57" fillId="33" borderId="24" xfId="0" applyFont="1" applyFill="1" applyBorder="1" applyAlignment="1">
      <alignment horizontal="left" vertical="center" wrapText="1" indent="1"/>
    </xf>
    <xf numFmtId="0" fontId="57" fillId="33" borderId="27" xfId="0" applyFont="1" applyFill="1" applyBorder="1" applyAlignment="1">
      <alignment horizontal="left" vertical="center" wrapText="1" indent="1"/>
    </xf>
    <xf numFmtId="3" fontId="58" fillId="33" borderId="19" xfId="0" applyNumberFormat="1" applyFont="1" applyFill="1" applyBorder="1" applyAlignment="1">
      <alignment horizontal="center" vertical="center"/>
    </xf>
    <xf numFmtId="3" fontId="56" fillId="33" borderId="19" xfId="0" applyNumberFormat="1" applyFont="1" applyFill="1" applyBorder="1" applyAlignment="1">
      <alignment horizontal="center" vertical="center"/>
    </xf>
    <xf numFmtId="0" fontId="57" fillId="33" borderId="31" xfId="0" applyFont="1" applyFill="1" applyBorder="1" applyAlignment="1">
      <alignment horizontal="left" vertical="center" wrapText="1" indent="1"/>
    </xf>
    <xf numFmtId="3" fontId="58" fillId="33" borderId="32" xfId="0" applyNumberFormat="1" applyFont="1" applyFill="1" applyBorder="1" applyAlignment="1">
      <alignment horizontal="center" vertical="center"/>
    </xf>
    <xf numFmtId="3" fontId="58" fillId="33" borderId="33" xfId="0" applyNumberFormat="1" applyFont="1" applyFill="1" applyBorder="1" applyAlignment="1">
      <alignment horizontal="center" vertical="center"/>
    </xf>
    <xf numFmtId="0" fontId="55" fillId="33" borderId="27" xfId="0" applyFont="1" applyFill="1" applyBorder="1" applyAlignment="1">
      <alignment vertical="center" wrapText="1"/>
    </xf>
    <xf numFmtId="3" fontId="56" fillId="33" borderId="32" xfId="0" applyNumberFormat="1" applyFont="1" applyFill="1" applyBorder="1" applyAlignment="1">
      <alignment horizontal="center" vertical="center"/>
    </xf>
    <xf numFmtId="165" fontId="58" fillId="33" borderId="22" xfId="0" applyNumberFormat="1" applyFont="1" applyFill="1" applyBorder="1" applyAlignment="1">
      <alignment horizontal="center" vertical="center"/>
    </xf>
    <xf numFmtId="165" fontId="58" fillId="0" borderId="22" xfId="0" applyNumberFormat="1" applyFont="1" applyBorder="1" applyAlignment="1">
      <alignment horizontal="center" vertical="center"/>
    </xf>
    <xf numFmtId="0" fontId="57" fillId="33" borderId="24" xfId="0" applyFont="1" applyFill="1" applyBorder="1" applyAlignment="1">
      <alignment vertical="center" wrapText="1"/>
    </xf>
    <xf numFmtId="167" fontId="31" fillId="0" borderId="22" xfId="49" applyNumberFormat="1" applyFont="1" applyFill="1" applyBorder="1" applyAlignment="1">
      <alignment vertical="center"/>
    </xf>
    <xf numFmtId="0" fontId="18" fillId="33" borderId="27" xfId="0" applyFont="1" applyFill="1" applyBorder="1" applyAlignment="1">
      <alignment horizontal="left" vertical="top" wrapText="1"/>
    </xf>
    <xf numFmtId="0" fontId="18" fillId="33" borderId="27" xfId="0" applyFont="1" applyFill="1" applyBorder="1" applyAlignment="1">
      <alignment vertical="top" wrapText="1"/>
    </xf>
    <xf numFmtId="0" fontId="18" fillId="0" borderId="27" xfId="0" applyFont="1" applyBorder="1" applyAlignment="1">
      <alignment vertical="top" wrapText="1"/>
    </xf>
    <xf numFmtId="0" fontId="31" fillId="33" borderId="24" xfId="0" applyFont="1" applyFill="1" applyBorder="1" applyAlignment="1">
      <alignment horizontal="center" vertical="center" wrapText="1"/>
    </xf>
    <xf numFmtId="0" fontId="31" fillId="33" borderId="24" xfId="0" applyFont="1" applyFill="1" applyBorder="1" applyAlignment="1">
      <alignment vertical="center" wrapText="1"/>
    </xf>
    <xf numFmtId="0" fontId="29" fillId="33" borderId="24" xfId="0" applyFont="1" applyFill="1" applyBorder="1" applyAlignment="1">
      <alignment horizontal="center" vertical="center" wrapText="1"/>
    </xf>
    <xf numFmtId="0" fontId="33" fillId="33" borderId="24" xfId="0" applyFont="1" applyFill="1" applyBorder="1" applyAlignment="1">
      <alignment vertical="center" wrapText="1"/>
    </xf>
    <xf numFmtId="43" fontId="31" fillId="33" borderId="24" xfId="49" applyFont="1" applyFill="1" applyBorder="1" applyAlignment="1">
      <alignment horizontal="center" vertical="center" wrapText="1"/>
    </xf>
    <xf numFmtId="0" fontId="35" fillId="39" borderId="15" xfId="0" applyFont="1" applyFill="1" applyBorder="1" applyAlignment="1">
      <alignment horizontal="left" vertical="center" wrapText="1" indent="1"/>
    </xf>
    <xf numFmtId="3" fontId="34" fillId="39" borderId="22" xfId="0" applyNumberFormat="1" applyFont="1" applyFill="1" applyBorder="1" applyAlignment="1">
      <alignment horizontal="center" vertical="center"/>
    </xf>
    <xf numFmtId="0" fontId="36" fillId="39" borderId="24" xfId="0" applyFont="1" applyFill="1" applyBorder="1" applyAlignment="1">
      <alignment vertical="center" wrapText="1"/>
    </xf>
    <xf numFmtId="3" fontId="32" fillId="39" borderId="22" xfId="0" applyNumberFormat="1" applyFont="1" applyFill="1" applyBorder="1" applyAlignment="1">
      <alignment horizontal="center" vertical="center"/>
    </xf>
    <xf numFmtId="0" fontId="36" fillId="39" borderId="15" xfId="0" applyFont="1" applyFill="1" applyBorder="1" applyAlignment="1">
      <alignment horizontal="left" vertical="center" wrapText="1" indent="1"/>
    </xf>
    <xf numFmtId="0" fontId="36" fillId="39" borderId="13" xfId="0" applyFont="1" applyFill="1" applyBorder="1" applyAlignment="1">
      <alignment horizontal="left" vertical="center" wrapText="1" indent="1"/>
    </xf>
    <xf numFmtId="3" fontId="34" fillId="39" borderId="12" xfId="0" applyNumberFormat="1" applyFont="1" applyFill="1" applyBorder="1" applyAlignment="1">
      <alignment horizontal="center" vertical="center"/>
    </xf>
    <xf numFmtId="3" fontId="42" fillId="39" borderId="22" xfId="0" applyNumberFormat="1" applyFont="1" applyFill="1" applyBorder="1" applyAlignment="1">
      <alignment horizontal="center" vertical="center"/>
    </xf>
    <xf numFmtId="0" fontId="36" fillId="38" borderId="24" xfId="0" applyFont="1" applyFill="1" applyBorder="1" applyAlignment="1">
      <alignment vertical="center" wrapText="1"/>
    </xf>
    <xf numFmtId="3" fontId="32" fillId="38" borderId="22" xfId="0" applyNumberFormat="1" applyFont="1" applyFill="1" applyBorder="1" applyAlignment="1">
      <alignment horizontal="center" vertical="center"/>
    </xf>
    <xf numFmtId="0" fontId="31" fillId="33" borderId="24" xfId="0" applyFont="1" applyFill="1" applyBorder="1" applyAlignment="1">
      <alignment horizontal="center" vertical="center" wrapText="1"/>
    </xf>
    <xf numFmtId="0" fontId="31" fillId="33" borderId="24" xfId="0" applyFont="1" applyFill="1" applyBorder="1" applyAlignment="1">
      <alignment vertical="center" wrapText="1"/>
    </xf>
    <xf numFmtId="0" fontId="31" fillId="33" borderId="19" xfId="0" applyFont="1" applyFill="1" applyBorder="1" applyAlignment="1">
      <alignment horizontal="center" vertical="center" wrapText="1"/>
    </xf>
    <xf numFmtId="0" fontId="31" fillId="33" borderId="22" xfId="0" applyFont="1" applyFill="1" applyBorder="1" applyAlignment="1">
      <alignment horizontal="center" vertical="center" wrapText="1"/>
    </xf>
    <xf numFmtId="0" fontId="56" fillId="33" borderId="24" xfId="0" applyFont="1" applyFill="1" applyBorder="1" applyAlignment="1">
      <alignment vertical="center" wrapText="1"/>
    </xf>
    <xf numFmtId="0" fontId="60" fillId="33" borderId="24" xfId="0" applyFont="1" applyFill="1" applyBorder="1" applyAlignment="1">
      <alignment horizontal="left" vertical="center" wrapText="1"/>
    </xf>
    <xf numFmtId="9" fontId="31" fillId="33" borderId="19" xfId="0" applyNumberFormat="1" applyFont="1" applyFill="1" applyBorder="1" applyAlignment="1">
      <alignment horizontal="center" vertical="center"/>
    </xf>
    <xf numFmtId="9" fontId="31" fillId="33" borderId="35" xfId="0" applyNumberFormat="1" applyFont="1" applyFill="1" applyBorder="1" applyAlignment="1">
      <alignment horizontal="center" vertical="center"/>
    </xf>
    <xf numFmtId="0" fontId="24" fillId="33" borderId="24" xfId="0" applyFont="1" applyFill="1" applyBorder="1" applyAlignment="1">
      <alignment horizontal="left" vertical="center" wrapText="1"/>
    </xf>
    <xf numFmtId="0" fontId="53" fillId="33" borderId="24" xfId="0" applyFont="1" applyFill="1" applyBorder="1" applyAlignment="1">
      <alignment horizontal="left" vertical="center" wrapText="1"/>
    </xf>
    <xf numFmtId="0" fontId="41" fillId="33" borderId="24" xfId="0" applyFont="1" applyFill="1" applyBorder="1" applyAlignment="1">
      <alignment horizontal="left" vertical="center" wrapText="1"/>
    </xf>
    <xf numFmtId="3" fontId="0" fillId="0" borderId="0" xfId="0" applyNumberFormat="1"/>
    <xf numFmtId="165" fontId="29" fillId="33" borderId="22" xfId="44" applyNumberFormat="1" applyFont="1" applyFill="1" applyBorder="1" applyAlignment="1">
      <alignment horizontal="center" vertical="center"/>
    </xf>
    <xf numFmtId="0" fontId="21" fillId="34" borderId="10" xfId="50" applyFont="1" applyFill="1" applyBorder="1" applyAlignment="1">
      <alignment horizontal="center" vertical="center" wrapText="1"/>
    </xf>
    <xf numFmtId="0" fontId="21" fillId="34" borderId="11" xfId="50" applyFont="1" applyFill="1" applyBorder="1" applyAlignment="1">
      <alignment horizontal="center" vertical="center" wrapText="1"/>
    </xf>
    <xf numFmtId="0" fontId="21" fillId="34" borderId="12" xfId="50" applyFont="1" applyFill="1" applyBorder="1" applyAlignment="1">
      <alignment horizontal="center" vertical="center" wrapText="1"/>
    </xf>
    <xf numFmtId="0" fontId="18" fillId="33" borderId="10" xfId="50" applyFont="1" applyFill="1" applyBorder="1" applyAlignment="1">
      <alignment horizontal="left" vertical="center" wrapText="1"/>
    </xf>
    <xf numFmtId="0" fontId="18" fillId="33" borderId="11" xfId="50" applyFont="1" applyFill="1" applyBorder="1" applyAlignment="1">
      <alignment horizontal="left" vertical="center" wrapText="1"/>
    </xf>
    <xf numFmtId="0" fontId="18" fillId="33" borderId="12" xfId="50" applyFont="1" applyFill="1" applyBorder="1" applyAlignment="1">
      <alignment horizontal="left" vertical="center" wrapText="1"/>
    </xf>
    <xf numFmtId="49" fontId="22" fillId="33" borderId="10" xfId="50" applyNumberFormat="1" applyFont="1" applyFill="1" applyBorder="1" applyAlignment="1">
      <alignment horizontal="center" vertical="center"/>
    </xf>
    <xf numFmtId="49" fontId="22" fillId="33" borderId="11" xfId="50" applyNumberFormat="1" applyFont="1" applyFill="1" applyBorder="1" applyAlignment="1">
      <alignment horizontal="center" vertical="center"/>
    </xf>
    <xf numFmtId="49" fontId="22" fillId="33" borderId="12" xfId="50" applyNumberFormat="1" applyFont="1" applyFill="1" applyBorder="1" applyAlignment="1">
      <alignment horizontal="center" vertical="center"/>
    </xf>
    <xf numFmtId="0" fontId="24" fillId="33" borderId="10" xfId="50" applyFont="1" applyFill="1" applyBorder="1" applyAlignment="1">
      <alignment horizontal="left" vertical="center" wrapText="1"/>
    </xf>
    <xf numFmtId="0" fontId="24" fillId="33" borderId="11" xfId="50" applyFont="1" applyFill="1" applyBorder="1" applyAlignment="1">
      <alignment horizontal="left" vertical="center" wrapText="1"/>
    </xf>
    <xf numFmtId="0" fontId="24" fillId="33" borderId="12" xfId="50" applyFont="1" applyFill="1" applyBorder="1" applyAlignment="1">
      <alignment horizontal="left" vertical="center" wrapText="1"/>
    </xf>
    <xf numFmtId="0" fontId="18" fillId="33" borderId="10" xfId="50" applyFont="1" applyFill="1" applyBorder="1" applyAlignment="1">
      <alignment horizontal="left" vertical="top" wrapText="1"/>
    </xf>
    <xf numFmtId="0" fontId="18" fillId="33" borderId="11" xfId="50" applyFont="1" applyFill="1" applyBorder="1" applyAlignment="1">
      <alignment horizontal="left" vertical="top" wrapText="1"/>
    </xf>
    <xf numFmtId="0" fontId="18" fillId="33" borderId="12" xfId="50" applyFont="1" applyFill="1" applyBorder="1" applyAlignment="1">
      <alignment horizontal="left" vertical="top" wrapText="1"/>
    </xf>
    <xf numFmtId="0" fontId="32" fillId="35" borderId="10" xfId="0" applyFont="1" applyFill="1" applyBorder="1" applyAlignment="1">
      <alignment horizontal="center" vertical="center"/>
    </xf>
    <xf numFmtId="0" fontId="32" fillId="35" borderId="11" xfId="0" applyFont="1" applyFill="1" applyBorder="1" applyAlignment="1">
      <alignment horizontal="center" vertical="center"/>
    </xf>
    <xf numFmtId="0" fontId="32" fillId="35" borderId="12" xfId="0" applyFont="1" applyFill="1" applyBorder="1" applyAlignment="1">
      <alignment horizontal="center" vertical="center"/>
    </xf>
    <xf numFmtId="0" fontId="18" fillId="33" borderId="10"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2"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2"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28" fillId="0" borderId="10"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4" xfId="0"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6" xfId="0" applyFont="1" applyBorder="1" applyAlignment="1">
      <alignment horizontal="left" vertical="center" wrapText="1"/>
    </xf>
    <xf numFmtId="0" fontId="29" fillId="0" borderId="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18" fillId="35" borderId="10" xfId="0" applyFont="1" applyFill="1" applyBorder="1" applyAlignment="1">
      <alignment horizontal="left" vertical="top" wrapText="1"/>
    </xf>
    <xf numFmtId="0" fontId="18" fillId="35" borderId="11" xfId="0" applyFont="1" applyFill="1" applyBorder="1" applyAlignment="1">
      <alignment horizontal="left" vertical="top" wrapText="1"/>
    </xf>
    <xf numFmtId="0" fontId="18" fillId="35" borderId="12" xfId="0" applyFont="1" applyFill="1" applyBorder="1" applyAlignment="1">
      <alignment horizontal="left" vertical="top" wrapText="1"/>
    </xf>
    <xf numFmtId="0" fontId="18" fillId="33" borderId="23" xfId="0" applyFont="1" applyFill="1" applyBorder="1" applyAlignment="1">
      <alignment horizontal="center" vertical="center" wrapText="1"/>
    </xf>
    <xf numFmtId="0" fontId="18" fillId="33" borderId="24" xfId="0" applyFont="1" applyFill="1" applyBorder="1" applyAlignment="1">
      <alignment horizontal="center" vertical="center" wrapText="1"/>
    </xf>
    <xf numFmtId="0" fontId="29" fillId="35" borderId="10" xfId="0" applyFont="1" applyFill="1" applyBorder="1" applyAlignment="1">
      <alignment horizontal="center" vertical="center" wrapText="1"/>
    </xf>
    <xf numFmtId="0" fontId="29" fillId="35" borderId="11" xfId="0" applyFont="1" applyFill="1" applyBorder="1" applyAlignment="1">
      <alignment horizontal="center" vertical="center" wrapText="1"/>
    </xf>
    <xf numFmtId="0" fontId="29" fillId="35" borderId="12" xfId="0" applyFont="1" applyFill="1" applyBorder="1" applyAlignment="1">
      <alignment horizontal="center" vertical="center" wrapText="1"/>
    </xf>
    <xf numFmtId="0" fontId="31" fillId="33" borderId="10" xfId="0" applyFont="1" applyFill="1" applyBorder="1" applyAlignment="1">
      <alignment horizontal="center" vertical="center" wrapText="1"/>
    </xf>
    <xf numFmtId="0" fontId="31" fillId="33" borderId="11" xfId="0" applyFont="1" applyFill="1" applyBorder="1" applyAlignment="1">
      <alignment horizontal="center" vertical="center" wrapText="1"/>
    </xf>
    <xf numFmtId="0" fontId="31" fillId="33" borderId="12" xfId="0" applyFont="1" applyFill="1" applyBorder="1" applyAlignment="1">
      <alignment horizontal="center" vertical="center" wrapText="1"/>
    </xf>
    <xf numFmtId="0" fontId="32" fillId="35" borderId="10" xfId="0" applyFont="1" applyFill="1" applyBorder="1" applyAlignment="1">
      <alignment horizontal="center" vertical="center" wrapText="1"/>
    </xf>
    <xf numFmtId="0" fontId="32" fillId="35" borderId="11" xfId="0" applyFont="1" applyFill="1" applyBorder="1" applyAlignment="1">
      <alignment horizontal="center" vertical="center" wrapText="1"/>
    </xf>
    <xf numFmtId="0" fontId="32" fillId="35" borderId="12" xfId="0" applyFont="1" applyFill="1" applyBorder="1" applyAlignment="1">
      <alignment horizontal="center" vertical="center" wrapText="1"/>
    </xf>
    <xf numFmtId="0" fontId="28" fillId="35" borderId="10" xfId="0" applyFont="1" applyFill="1" applyBorder="1" applyAlignment="1">
      <alignment horizontal="center" vertical="center"/>
    </xf>
    <xf numFmtId="0" fontId="28" fillId="35" borderId="11" xfId="0" applyFont="1" applyFill="1" applyBorder="1" applyAlignment="1">
      <alignment horizontal="center" vertical="center"/>
    </xf>
    <xf numFmtId="0" fontId="28" fillId="35" borderId="12" xfId="0" applyFont="1" applyFill="1" applyBorder="1" applyAlignment="1">
      <alignment horizontal="center" vertical="center"/>
    </xf>
    <xf numFmtId="0" fontId="31" fillId="35" borderId="10" xfId="0" applyFont="1" applyFill="1" applyBorder="1" applyAlignment="1">
      <alignment horizontal="center" vertical="center"/>
    </xf>
    <xf numFmtId="0" fontId="31" fillId="35" borderId="11" xfId="0" applyFont="1" applyFill="1" applyBorder="1" applyAlignment="1">
      <alignment horizontal="center" vertical="center"/>
    </xf>
    <xf numFmtId="0" fontId="31" fillId="35" borderId="12" xfId="0" applyFont="1" applyFill="1" applyBorder="1" applyAlignment="1">
      <alignment horizontal="center" vertical="center"/>
    </xf>
    <xf numFmtId="0" fontId="31" fillId="33" borderId="10" xfId="0" applyFont="1" applyFill="1" applyBorder="1" applyAlignment="1">
      <alignment horizontal="center" vertical="center"/>
    </xf>
    <xf numFmtId="0" fontId="31" fillId="33" borderId="11" xfId="0" applyFont="1" applyFill="1" applyBorder="1" applyAlignment="1">
      <alignment horizontal="center" vertical="center"/>
    </xf>
    <xf numFmtId="0" fontId="31" fillId="33" borderId="12" xfId="0" applyFont="1" applyFill="1" applyBorder="1" applyAlignment="1">
      <alignment horizontal="center" vertical="center"/>
    </xf>
    <xf numFmtId="0" fontId="31" fillId="33" borderId="23" xfId="0" applyFont="1" applyFill="1" applyBorder="1" applyAlignment="1">
      <alignment horizontal="center" vertical="center" wrapText="1"/>
    </xf>
    <xf numFmtId="0" fontId="31" fillId="33" borderId="24" xfId="0" applyFont="1" applyFill="1" applyBorder="1" applyAlignment="1">
      <alignment horizontal="center" vertical="center" wrapText="1"/>
    </xf>
    <xf numFmtId="9" fontId="31" fillId="35" borderId="10" xfId="0" applyNumberFormat="1" applyFont="1" applyFill="1" applyBorder="1" applyAlignment="1">
      <alignment horizontal="center" vertical="center"/>
    </xf>
    <xf numFmtId="9" fontId="31" fillId="35" borderId="11" xfId="0" applyNumberFormat="1" applyFont="1" applyFill="1" applyBorder="1" applyAlignment="1">
      <alignment horizontal="center" vertical="center"/>
    </xf>
    <xf numFmtId="9" fontId="31" fillId="35" borderId="12" xfId="0" applyNumberFormat="1" applyFont="1" applyFill="1" applyBorder="1" applyAlignment="1">
      <alignment horizontal="center" vertical="center"/>
    </xf>
    <xf numFmtId="0" fontId="31" fillId="33" borderId="23" xfId="0" applyFont="1" applyFill="1" applyBorder="1" applyAlignment="1">
      <alignment vertical="center" wrapText="1"/>
    </xf>
    <xf numFmtId="0" fontId="31" fillId="33" borderId="15" xfId="0" applyFont="1" applyFill="1" applyBorder="1" applyAlignment="1">
      <alignment vertical="center" wrapText="1"/>
    </xf>
    <xf numFmtId="0" fontId="31" fillId="33" borderId="24" xfId="0" applyFont="1" applyFill="1" applyBorder="1" applyAlignment="1">
      <alignment vertical="center" wrapText="1"/>
    </xf>
    <xf numFmtId="0" fontId="31" fillId="33" borderId="14" xfId="0" applyFont="1" applyFill="1" applyBorder="1" applyAlignment="1">
      <alignment horizontal="center" vertical="center"/>
    </xf>
    <xf numFmtId="0" fontId="31" fillId="33" borderId="17" xfId="0" applyFont="1" applyFill="1" applyBorder="1" applyAlignment="1">
      <alignment horizontal="center" vertical="center"/>
    </xf>
    <xf numFmtId="0" fontId="31" fillId="33" borderId="18" xfId="0" applyFont="1" applyFill="1" applyBorder="1" applyAlignment="1">
      <alignment horizontal="center" vertical="center"/>
    </xf>
    <xf numFmtId="0" fontId="31" fillId="33" borderId="16" xfId="0" applyFont="1" applyFill="1" applyBorder="1" applyAlignment="1">
      <alignment horizontal="center" vertical="center"/>
    </xf>
    <xf numFmtId="0" fontId="31" fillId="33" borderId="0" xfId="0" applyFont="1" applyFill="1" applyBorder="1" applyAlignment="1">
      <alignment horizontal="center" vertical="center"/>
    </xf>
    <xf numFmtId="0" fontId="31" fillId="33" borderId="19" xfId="0" applyFont="1" applyFill="1" applyBorder="1" applyAlignment="1">
      <alignment horizontal="center" vertical="center"/>
    </xf>
    <xf numFmtId="0" fontId="31" fillId="33" borderId="20" xfId="0" applyFont="1" applyFill="1" applyBorder="1" applyAlignment="1">
      <alignment horizontal="center" vertical="center"/>
    </xf>
    <xf numFmtId="0" fontId="31" fillId="33" borderId="21" xfId="0" applyFont="1" applyFill="1" applyBorder="1" applyAlignment="1">
      <alignment horizontal="center" vertical="center"/>
    </xf>
    <xf numFmtId="0" fontId="31" fillId="33" borderId="22" xfId="0" applyFont="1" applyFill="1" applyBorder="1" applyAlignment="1">
      <alignment horizontal="center" vertical="center"/>
    </xf>
    <xf numFmtId="0" fontId="37" fillId="35" borderId="10" xfId="0" applyFont="1" applyFill="1" applyBorder="1" applyAlignment="1">
      <alignment horizontal="center" vertical="center" wrapText="1"/>
    </xf>
    <xf numFmtId="0" fontId="37" fillId="35" borderId="11" xfId="0" applyFont="1" applyFill="1" applyBorder="1" applyAlignment="1">
      <alignment horizontal="center" vertical="center" wrapText="1"/>
    </xf>
    <xf numFmtId="0" fontId="37" fillId="35" borderId="12" xfId="0" applyFont="1" applyFill="1" applyBorder="1" applyAlignment="1">
      <alignment horizontal="center" vertical="center" wrapText="1"/>
    </xf>
    <xf numFmtId="0" fontId="31" fillId="35" borderId="10" xfId="0" applyFont="1" applyFill="1" applyBorder="1" applyAlignment="1">
      <alignment horizontal="center" vertical="center" wrapText="1"/>
    </xf>
    <xf numFmtId="0" fontId="31" fillId="35" borderId="11" xfId="0" applyFont="1" applyFill="1" applyBorder="1" applyAlignment="1">
      <alignment horizontal="center" vertical="center" wrapText="1"/>
    </xf>
    <xf numFmtId="0" fontId="31" fillId="35" borderId="12" xfId="0" applyFont="1" applyFill="1" applyBorder="1" applyAlignment="1">
      <alignment horizontal="center" vertical="center" wrapText="1"/>
    </xf>
    <xf numFmtId="0" fontId="31" fillId="35" borderId="10" xfId="0" applyFont="1" applyFill="1" applyBorder="1" applyAlignment="1">
      <alignment horizontal="center" vertical="top" wrapText="1"/>
    </xf>
    <xf numFmtId="0" fontId="31" fillId="35" borderId="11" xfId="0" applyFont="1" applyFill="1" applyBorder="1" applyAlignment="1">
      <alignment horizontal="center" vertical="top" wrapText="1"/>
    </xf>
    <xf numFmtId="0" fontId="31" fillId="35" borderId="12" xfId="0" applyFont="1" applyFill="1" applyBorder="1" applyAlignment="1">
      <alignment horizontal="center" vertical="top" wrapText="1"/>
    </xf>
    <xf numFmtId="0" fontId="16" fillId="0" borderId="0" xfId="0" applyFont="1" applyAlignment="1">
      <alignment horizontal="center"/>
    </xf>
    <xf numFmtId="0" fontId="29" fillId="0" borderId="14"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9" fontId="31" fillId="35" borderId="10" xfId="0" applyNumberFormat="1" applyFont="1" applyFill="1" applyBorder="1" applyAlignment="1">
      <alignment horizontal="center" vertical="center" wrapText="1"/>
    </xf>
    <xf numFmtId="9" fontId="31" fillId="35" borderId="11" xfId="0" applyNumberFormat="1" applyFont="1" applyFill="1" applyBorder="1" applyAlignment="1">
      <alignment horizontal="center" vertical="center" wrapText="1"/>
    </xf>
    <xf numFmtId="9" fontId="31" fillId="35" borderId="12" xfId="0" applyNumberFormat="1" applyFont="1" applyFill="1" applyBorder="1" applyAlignment="1">
      <alignment horizontal="center" vertical="center" wrapText="1"/>
    </xf>
    <xf numFmtId="0" fontId="28" fillId="35" borderId="10" xfId="0" applyFont="1" applyFill="1" applyBorder="1" applyAlignment="1">
      <alignment horizontal="center" vertical="center" wrapText="1"/>
    </xf>
    <xf numFmtId="0" fontId="28" fillId="35" borderId="11" xfId="0" applyFont="1" applyFill="1" applyBorder="1" applyAlignment="1">
      <alignment horizontal="center" vertical="center" wrapText="1"/>
    </xf>
    <xf numFmtId="0" fontId="28" fillId="35" borderId="12" xfId="0" applyFont="1" applyFill="1" applyBorder="1" applyAlignment="1">
      <alignment horizontal="center" vertical="center" wrapText="1"/>
    </xf>
    <xf numFmtId="0" fontId="32" fillId="33" borderId="10" xfId="0" applyFont="1" applyFill="1" applyBorder="1" applyAlignment="1">
      <alignment horizontal="center" vertical="center" wrapText="1"/>
    </xf>
    <xf numFmtId="0" fontId="32" fillId="33" borderId="11" xfId="0" applyFont="1" applyFill="1" applyBorder="1" applyAlignment="1">
      <alignment horizontal="center" vertical="center" wrapText="1"/>
    </xf>
    <xf numFmtId="0" fontId="32" fillId="33" borderId="12" xfId="0" applyFont="1" applyFill="1" applyBorder="1" applyAlignment="1">
      <alignment horizontal="center" vertical="center" wrapText="1"/>
    </xf>
    <xf numFmtId="0" fontId="31" fillId="33" borderId="20" xfId="0" applyFont="1" applyFill="1" applyBorder="1" applyAlignment="1">
      <alignment horizontal="center" vertical="center" wrapText="1"/>
    </xf>
    <xf numFmtId="0" fontId="31" fillId="33" borderId="17" xfId="0" applyFont="1" applyFill="1" applyBorder="1" applyAlignment="1">
      <alignment horizontal="center" vertical="center" wrapText="1"/>
    </xf>
    <xf numFmtId="0" fontId="31" fillId="33" borderId="18" xfId="0" applyFont="1" applyFill="1" applyBorder="1" applyAlignment="1">
      <alignment horizontal="center" vertical="center" wrapText="1"/>
    </xf>
    <xf numFmtId="0" fontId="31" fillId="33" borderId="0" xfId="0" applyFont="1" applyFill="1" applyBorder="1" applyAlignment="1">
      <alignment horizontal="center" vertical="center" wrapText="1"/>
    </xf>
    <xf numFmtId="0" fontId="31" fillId="33" borderId="19" xfId="0" applyFont="1" applyFill="1" applyBorder="1" applyAlignment="1">
      <alignment horizontal="center" vertical="center" wrapText="1"/>
    </xf>
    <xf numFmtId="0" fontId="31" fillId="33" borderId="21" xfId="0" applyFont="1" applyFill="1" applyBorder="1" applyAlignment="1">
      <alignment horizontal="center" vertical="center" wrapText="1"/>
    </xf>
    <xf numFmtId="0" fontId="31" fillId="33" borderId="22" xfId="0" applyFont="1" applyFill="1" applyBorder="1" applyAlignment="1">
      <alignment horizontal="center" vertical="center" wrapText="1"/>
    </xf>
    <xf numFmtId="0" fontId="54" fillId="33" borderId="13" xfId="0" applyFont="1" applyFill="1" applyBorder="1" applyAlignment="1">
      <alignment horizontal="center" vertical="center"/>
    </xf>
    <xf numFmtId="49" fontId="54" fillId="33" borderId="10" xfId="0" quotePrefix="1" applyNumberFormat="1" applyFont="1" applyFill="1" applyBorder="1" applyAlignment="1">
      <alignment horizontal="center" vertical="center"/>
    </xf>
    <xf numFmtId="49" fontId="54" fillId="33" borderId="11" xfId="0" applyNumberFormat="1" applyFont="1" applyFill="1" applyBorder="1" applyAlignment="1">
      <alignment horizontal="center" vertical="center"/>
    </xf>
    <xf numFmtId="49" fontId="54" fillId="33" borderId="12" xfId="0" applyNumberFormat="1" applyFont="1" applyFill="1" applyBorder="1" applyAlignment="1">
      <alignment horizontal="center" vertical="center"/>
    </xf>
    <xf numFmtId="0" fontId="54" fillId="33" borderId="10" xfId="0" applyFont="1" applyFill="1" applyBorder="1" applyAlignment="1">
      <alignment horizontal="center" vertical="center" wrapText="1"/>
    </xf>
    <xf numFmtId="0" fontId="54" fillId="33" borderId="11" xfId="0" applyFont="1" applyFill="1" applyBorder="1" applyAlignment="1">
      <alignment horizontal="center" vertical="center" wrapText="1"/>
    </xf>
    <xf numFmtId="0" fontId="54" fillId="33" borderId="12" xfId="0" applyFont="1" applyFill="1" applyBorder="1" applyAlignment="1">
      <alignment horizontal="center" vertical="center" wrapText="1"/>
    </xf>
    <xf numFmtId="0" fontId="28" fillId="33" borderId="10" xfId="0" applyFont="1" applyFill="1" applyBorder="1" applyAlignment="1">
      <alignment horizontal="center"/>
    </xf>
    <xf numFmtId="0" fontId="28" fillId="33" borderId="11" xfId="0" applyFont="1" applyFill="1" applyBorder="1" applyAlignment="1">
      <alignment horizontal="center"/>
    </xf>
    <xf numFmtId="0" fontId="28" fillId="33" borderId="12" xfId="0" applyFont="1" applyFill="1" applyBorder="1" applyAlignment="1">
      <alignment horizontal="center"/>
    </xf>
    <xf numFmtId="0" fontId="55" fillId="33" borderId="10" xfId="0" applyFont="1" applyFill="1" applyBorder="1" applyAlignment="1">
      <alignment horizontal="center" vertical="center" wrapText="1"/>
    </xf>
    <xf numFmtId="0" fontId="55" fillId="33" borderId="11" xfId="0" applyFont="1" applyFill="1" applyBorder="1" applyAlignment="1">
      <alignment horizontal="center" vertical="center" wrapText="1"/>
    </xf>
    <xf numFmtId="0" fontId="55" fillId="33" borderId="12" xfId="0" applyFont="1" applyFill="1" applyBorder="1" applyAlignment="1">
      <alignment horizontal="center" vertical="center" wrapText="1"/>
    </xf>
    <xf numFmtId="0" fontId="56" fillId="33" borderId="10" xfId="0" applyFont="1" applyFill="1" applyBorder="1" applyAlignment="1">
      <alignment horizontal="center" vertical="center"/>
    </xf>
    <xf numFmtId="0" fontId="56" fillId="33" borderId="11" xfId="0" applyFont="1" applyFill="1" applyBorder="1" applyAlignment="1">
      <alignment horizontal="center" vertical="center"/>
    </xf>
    <xf numFmtId="0" fontId="56" fillId="33" borderId="12" xfId="0" applyFont="1" applyFill="1" applyBorder="1" applyAlignment="1">
      <alignment horizontal="center" vertical="center"/>
    </xf>
    <xf numFmtId="0" fontId="32" fillId="33" borderId="23" xfId="0" applyFont="1" applyFill="1" applyBorder="1" applyAlignment="1">
      <alignment horizontal="center" vertical="center" wrapText="1"/>
    </xf>
    <xf numFmtId="0" fontId="32" fillId="33" borderId="24" xfId="0" applyFont="1" applyFill="1" applyBorder="1" applyAlignment="1">
      <alignment horizontal="center" vertical="center" wrapText="1"/>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xf numFmtId="0" fontId="30" fillId="33" borderId="10" xfId="0" applyFont="1" applyFill="1" applyBorder="1" applyAlignment="1">
      <alignment horizontal="center" vertical="center" wrapText="1"/>
    </xf>
    <xf numFmtId="0" fontId="30" fillId="33" borderId="11" xfId="0" applyFont="1" applyFill="1" applyBorder="1" applyAlignment="1">
      <alignment horizontal="center" vertical="center" wrapText="1"/>
    </xf>
    <xf numFmtId="0" fontId="30" fillId="33" borderId="12" xfId="0" applyFont="1" applyFill="1" applyBorder="1" applyAlignment="1">
      <alignment horizontal="center" vertical="center" wrapText="1"/>
    </xf>
    <xf numFmtId="0" fontId="32" fillId="33" borderId="10" xfId="0" applyFont="1" applyFill="1" applyBorder="1" applyAlignment="1">
      <alignment horizontal="center" vertical="center"/>
    </xf>
    <xf numFmtId="0" fontId="32" fillId="33" borderId="11" xfId="0" applyFont="1" applyFill="1" applyBorder="1" applyAlignment="1">
      <alignment horizontal="center" vertical="center"/>
    </xf>
    <xf numFmtId="0" fontId="32" fillId="33" borderId="12" xfId="0" applyFont="1" applyFill="1" applyBorder="1" applyAlignment="1">
      <alignment horizontal="center" vertical="center"/>
    </xf>
    <xf numFmtId="0" fontId="28" fillId="33" borderId="10" xfId="0" applyFont="1" applyFill="1" applyBorder="1" applyAlignment="1">
      <alignment horizontal="center" vertical="center"/>
    </xf>
    <xf numFmtId="0" fontId="28" fillId="33" borderId="11" xfId="0" applyFont="1" applyFill="1" applyBorder="1" applyAlignment="1">
      <alignment horizontal="center" vertical="center"/>
    </xf>
    <xf numFmtId="0" fontId="28" fillId="33" borderId="12" xfId="0" applyFont="1" applyFill="1" applyBorder="1" applyAlignment="1">
      <alignment horizontal="center" vertical="center"/>
    </xf>
    <xf numFmtId="9" fontId="56" fillId="33" borderId="10" xfId="0" applyNumberFormat="1" applyFont="1" applyFill="1" applyBorder="1" applyAlignment="1">
      <alignment horizontal="center" vertical="center"/>
    </xf>
    <xf numFmtId="9" fontId="56" fillId="33" borderId="11" xfId="0" applyNumberFormat="1" applyFont="1" applyFill="1" applyBorder="1" applyAlignment="1">
      <alignment horizontal="center" vertical="center"/>
    </xf>
    <xf numFmtId="9" fontId="56" fillId="33" borderId="12" xfId="0" applyNumberFormat="1" applyFont="1" applyFill="1" applyBorder="1" applyAlignment="1">
      <alignment horizontal="center" vertical="center"/>
    </xf>
    <xf numFmtId="0" fontId="56" fillId="33" borderId="10" xfId="0" applyFont="1" applyFill="1" applyBorder="1" applyAlignment="1">
      <alignment horizontal="center" vertical="center" wrapText="1"/>
    </xf>
    <xf numFmtId="0" fontId="56" fillId="33" borderId="11" xfId="0" applyFont="1" applyFill="1" applyBorder="1" applyAlignment="1">
      <alignment horizontal="center" vertical="center" wrapText="1"/>
    </xf>
    <xf numFmtId="0" fontId="56" fillId="33" borderId="12" xfId="0" applyFont="1" applyFill="1" applyBorder="1" applyAlignment="1">
      <alignment horizontal="center" vertical="center" wrapText="1"/>
    </xf>
    <xf numFmtId="9" fontId="56" fillId="33" borderId="10" xfId="0" applyNumberFormat="1" applyFont="1" applyFill="1" applyBorder="1" applyAlignment="1">
      <alignment horizontal="center" vertical="center" wrapText="1"/>
    </xf>
    <xf numFmtId="9" fontId="56" fillId="33" borderId="11" xfId="0" applyNumberFormat="1" applyFont="1" applyFill="1" applyBorder="1" applyAlignment="1">
      <alignment horizontal="center" vertical="center" wrapText="1"/>
    </xf>
    <xf numFmtId="9" fontId="56" fillId="33" borderId="12" xfId="0" applyNumberFormat="1"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31" fillId="35" borderId="27" xfId="0" applyFont="1" applyFill="1" applyBorder="1" applyAlignment="1">
      <alignment horizontal="center" vertical="center"/>
    </xf>
    <xf numFmtId="0" fontId="55" fillId="33" borderId="11" xfId="0" applyFont="1" applyFill="1" applyBorder="1" applyAlignment="1">
      <alignment horizontal="center" vertical="center"/>
    </xf>
    <xf numFmtId="0" fontId="55" fillId="33" borderId="12" xfId="0" applyFont="1" applyFill="1" applyBorder="1" applyAlignment="1">
      <alignment horizontal="center" vertical="center"/>
    </xf>
    <xf numFmtId="0" fontId="28" fillId="35" borderId="27" xfId="0" applyFont="1" applyFill="1" applyBorder="1" applyAlignment="1">
      <alignment horizontal="center" vertical="center"/>
    </xf>
    <xf numFmtId="0" fontId="31" fillId="33" borderId="27" xfId="0" applyFont="1" applyFill="1" applyBorder="1" applyAlignment="1">
      <alignment horizontal="center" vertical="center" wrapText="1"/>
    </xf>
    <xf numFmtId="0" fontId="31" fillId="33" borderId="27" xfId="0" applyFont="1" applyFill="1" applyBorder="1" applyAlignment="1">
      <alignment horizontal="center" vertical="center"/>
    </xf>
    <xf numFmtId="0" fontId="32" fillId="35" borderId="27" xfId="0" applyFont="1" applyFill="1" applyBorder="1" applyAlignment="1">
      <alignment horizontal="center" vertical="center" wrapText="1"/>
    </xf>
    <xf numFmtId="9" fontId="31" fillId="35" borderId="27" xfId="0" applyNumberFormat="1" applyFont="1" applyFill="1" applyBorder="1" applyAlignment="1">
      <alignment horizontal="center" vertical="center"/>
    </xf>
    <xf numFmtId="0" fontId="31" fillId="33" borderId="27" xfId="0" applyFont="1" applyFill="1" applyBorder="1" applyAlignment="1">
      <alignment vertical="center" wrapText="1"/>
    </xf>
    <xf numFmtId="0" fontId="31" fillId="33" borderId="27" xfId="0" applyFont="1" applyFill="1" applyBorder="1" applyAlignment="1">
      <alignment horizontal="left" vertical="center" wrapText="1"/>
    </xf>
    <xf numFmtId="0" fontId="18" fillId="35" borderId="11" xfId="0" applyFont="1" applyFill="1" applyBorder="1" applyAlignment="1">
      <alignment horizontal="center" vertical="center" wrapText="1"/>
    </xf>
    <xf numFmtId="0" fontId="18" fillId="35" borderId="11" xfId="0" applyFont="1" applyFill="1" applyBorder="1" applyAlignment="1">
      <alignment horizontal="center" vertical="center"/>
    </xf>
    <xf numFmtId="0" fontId="18" fillId="35" borderId="12" xfId="0" applyFont="1" applyFill="1" applyBorder="1" applyAlignment="1">
      <alignment horizontal="center" vertical="center"/>
    </xf>
    <xf numFmtId="0" fontId="49" fillId="0" borderId="0" xfId="0" applyFont="1" applyAlignment="1">
      <alignment horizontal="center"/>
    </xf>
    <xf numFmtId="0" fontId="18" fillId="33" borderId="13" xfId="0" applyFont="1" applyFill="1" applyBorder="1" applyAlignment="1">
      <alignment horizontal="center" vertical="center"/>
    </xf>
    <xf numFmtId="0" fontId="18" fillId="33" borderId="14" xfId="0" applyFont="1" applyFill="1" applyBorder="1" applyAlignment="1">
      <alignment horizontal="center" vertical="center" wrapText="1"/>
    </xf>
    <xf numFmtId="0" fontId="18" fillId="33" borderId="17" xfId="0" applyFont="1" applyFill="1" applyBorder="1" applyAlignment="1">
      <alignment horizontal="center" vertical="center" wrapText="1"/>
    </xf>
    <xf numFmtId="0" fontId="18" fillId="33" borderId="18"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18" fillId="33" borderId="0" xfId="0" applyFont="1" applyFill="1" applyBorder="1" applyAlignment="1">
      <alignment horizontal="center" vertical="center" wrapText="1"/>
    </xf>
    <xf numFmtId="0" fontId="18" fillId="33" borderId="19"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18" fillId="33" borderId="21" xfId="0" applyFont="1" applyFill="1" applyBorder="1" applyAlignment="1">
      <alignment horizontal="center" vertical="center" wrapText="1"/>
    </xf>
    <xf numFmtId="0" fontId="18" fillId="33" borderId="22" xfId="0" applyFont="1" applyFill="1" applyBorder="1" applyAlignment="1">
      <alignment horizontal="center" vertical="center" wrapText="1"/>
    </xf>
    <xf numFmtId="0" fontId="31" fillId="33" borderId="10" xfId="0" applyFont="1" applyFill="1" applyBorder="1" applyAlignment="1">
      <alignment horizontal="center" vertical="top" wrapText="1"/>
    </xf>
    <xf numFmtId="0" fontId="31" fillId="33" borderId="11" xfId="0" applyFont="1" applyFill="1" applyBorder="1" applyAlignment="1">
      <alignment horizontal="center" vertical="top" wrapText="1"/>
    </xf>
    <xf numFmtId="0" fontId="31" fillId="33" borderId="12" xfId="0" applyFont="1" applyFill="1" applyBorder="1" applyAlignment="1">
      <alignment horizontal="center" vertical="top" wrapText="1"/>
    </xf>
    <xf numFmtId="0" fontId="31" fillId="33" borderId="10" xfId="0" applyFont="1" applyFill="1" applyBorder="1" applyAlignment="1">
      <alignment horizontal="center" vertical="top"/>
    </xf>
    <xf numFmtId="0" fontId="31" fillId="33" borderId="11" xfId="0" applyFont="1" applyFill="1" applyBorder="1" applyAlignment="1">
      <alignment horizontal="center" vertical="top"/>
    </xf>
    <xf numFmtId="0" fontId="31" fillId="33" borderId="12" xfId="0" applyFont="1" applyFill="1" applyBorder="1" applyAlignment="1">
      <alignment horizontal="center" vertical="top"/>
    </xf>
    <xf numFmtId="0" fontId="29" fillId="33" borderId="10" xfId="0" applyFont="1" applyFill="1" applyBorder="1" applyAlignment="1">
      <alignment horizontal="center" vertical="center"/>
    </xf>
    <xf numFmtId="0" fontId="29" fillId="33" borderId="11" xfId="0" applyFont="1" applyFill="1" applyBorder="1" applyAlignment="1">
      <alignment horizontal="center" vertical="center"/>
    </xf>
    <xf numFmtId="0" fontId="29" fillId="33" borderId="12" xfId="0" applyFont="1" applyFill="1" applyBorder="1" applyAlignment="1">
      <alignment horizontal="center" vertical="center"/>
    </xf>
    <xf numFmtId="0" fontId="37" fillId="33" borderId="10" xfId="0" applyFont="1" applyFill="1" applyBorder="1" applyAlignment="1">
      <alignment horizontal="center" vertical="center" wrapText="1"/>
    </xf>
    <xf numFmtId="0" fontId="37" fillId="33" borderId="11" xfId="0" applyFont="1" applyFill="1" applyBorder="1" applyAlignment="1">
      <alignment horizontal="center" vertical="center" wrapText="1"/>
    </xf>
    <xf numFmtId="0" fontId="37" fillId="33" borderId="12"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0" borderId="24" xfId="0" applyFont="1" applyFill="1" applyBorder="1" applyAlignment="1">
      <alignment horizontal="center" vertical="center" wrapText="1"/>
    </xf>
    <xf numFmtId="9" fontId="31" fillId="0" borderId="10" xfId="0" applyNumberFormat="1" applyFont="1" applyFill="1" applyBorder="1" applyAlignment="1">
      <alignment horizontal="center" vertical="center"/>
    </xf>
    <xf numFmtId="9" fontId="31" fillId="0" borderId="11" xfId="0" applyNumberFormat="1" applyFont="1" applyFill="1" applyBorder="1" applyAlignment="1">
      <alignment horizontal="center" vertical="center"/>
    </xf>
    <xf numFmtId="9" fontId="31" fillId="0" borderId="12" xfId="0" applyNumberFormat="1" applyFont="1" applyFill="1" applyBorder="1" applyAlignment="1">
      <alignment horizontal="center" vertical="center"/>
    </xf>
    <xf numFmtId="0" fontId="29" fillId="0" borderId="20"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22"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10"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5" xfId="0" applyFont="1" applyFill="1" applyBorder="1" applyAlignment="1">
      <alignment vertical="center" wrapText="1"/>
    </xf>
    <xf numFmtId="0" fontId="31" fillId="0" borderId="24" xfId="0" applyFont="1" applyFill="1" applyBorder="1" applyAlignment="1">
      <alignment vertical="center" wrapText="1"/>
    </xf>
    <xf numFmtId="0" fontId="31" fillId="0" borderId="16"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22" xfId="0" applyFont="1" applyFill="1" applyBorder="1" applyAlignment="1">
      <alignment horizontal="center" vertical="center"/>
    </xf>
    <xf numFmtId="0" fontId="31" fillId="0" borderId="23" xfId="0" applyFont="1" applyFill="1" applyBorder="1" applyAlignment="1">
      <alignment vertical="center" wrapText="1"/>
    </xf>
    <xf numFmtId="0" fontId="31" fillId="0" borderId="14"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18" xfId="0" applyFont="1" applyFill="1" applyBorder="1" applyAlignment="1">
      <alignment horizontal="center" vertical="center"/>
    </xf>
    <xf numFmtId="0" fontId="30" fillId="35" borderId="36" xfId="0" applyFont="1" applyFill="1" applyBorder="1" applyAlignment="1">
      <alignment horizontal="center" vertical="center" wrapText="1"/>
    </xf>
    <xf numFmtId="0" fontId="30" fillId="35" borderId="0" xfId="0" applyFont="1" applyFill="1" applyBorder="1" applyAlignment="1">
      <alignment horizontal="center" vertical="center" wrapText="1"/>
    </xf>
    <xf numFmtId="0" fontId="30" fillId="35" borderId="37" xfId="0" applyFont="1" applyFill="1" applyBorder="1" applyAlignment="1">
      <alignment horizontal="center" vertical="center" wrapText="1"/>
    </xf>
    <xf numFmtId="0" fontId="32" fillId="33" borderId="27"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51" fillId="0" borderId="12" xfId="0" applyFont="1" applyFill="1" applyBorder="1" applyAlignment="1">
      <alignment horizontal="center" vertical="center" wrapText="1"/>
    </xf>
    <xf numFmtId="9" fontId="32" fillId="33" borderId="10" xfId="0" applyNumberFormat="1" applyFont="1" applyFill="1" applyBorder="1" applyAlignment="1">
      <alignment horizontal="center" vertical="center"/>
    </xf>
    <xf numFmtId="9" fontId="32" fillId="33" borderId="11" xfId="0" applyNumberFormat="1" applyFont="1" applyFill="1" applyBorder="1" applyAlignment="1">
      <alignment horizontal="center" vertical="center"/>
    </xf>
    <xf numFmtId="9" fontId="32" fillId="33" borderId="12" xfId="0" applyNumberFormat="1" applyFont="1" applyFill="1" applyBorder="1" applyAlignment="1">
      <alignment horizontal="center" vertical="center"/>
    </xf>
    <xf numFmtId="0" fontId="33" fillId="33" borderId="10" xfId="0" applyFont="1" applyFill="1" applyBorder="1" applyAlignment="1">
      <alignment horizontal="center" vertical="center"/>
    </xf>
    <xf numFmtId="0" fontId="33" fillId="33" borderId="11" xfId="0" applyFont="1" applyFill="1" applyBorder="1" applyAlignment="1">
      <alignment horizontal="center" vertical="center"/>
    </xf>
    <xf numFmtId="0" fontId="33" fillId="33" borderId="12" xfId="0" applyFont="1" applyFill="1" applyBorder="1" applyAlignment="1">
      <alignment horizontal="center" vertical="center"/>
    </xf>
    <xf numFmtId="0" fontId="52" fillId="33" borderId="10" xfId="0" applyFont="1" applyFill="1" applyBorder="1" applyAlignment="1">
      <alignment horizontal="center" vertical="center" wrapText="1"/>
    </xf>
    <xf numFmtId="0" fontId="52" fillId="33" borderId="11" xfId="0" applyFont="1" applyFill="1" applyBorder="1" applyAlignment="1">
      <alignment horizontal="center" vertical="center" wrapText="1"/>
    </xf>
    <xf numFmtId="0" fontId="52" fillId="33" borderId="12" xfId="0" applyFont="1" applyFill="1" applyBorder="1" applyAlignment="1">
      <alignment horizontal="center" vertical="center" wrapText="1"/>
    </xf>
    <xf numFmtId="0" fontId="28" fillId="33" borderId="13" xfId="0" applyFont="1" applyFill="1" applyBorder="1" applyAlignment="1">
      <alignment horizontal="center" vertical="center"/>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1" fillId="0" borderId="10" xfId="0" applyFont="1" applyFill="1" applyBorder="1" applyAlignment="1">
      <alignment horizontal="left" vertical="center"/>
    </xf>
    <xf numFmtId="0" fontId="31" fillId="0" borderId="11" xfId="0" applyFont="1" applyFill="1" applyBorder="1" applyAlignment="1">
      <alignment horizontal="left" vertical="center"/>
    </xf>
    <xf numFmtId="0" fontId="31" fillId="0" borderId="12" xfId="0" applyFont="1" applyFill="1" applyBorder="1" applyAlignment="1">
      <alignment horizontal="left" vertical="center"/>
    </xf>
    <xf numFmtId="0" fontId="33" fillId="33" borderId="10" xfId="0" applyFont="1" applyFill="1" applyBorder="1" applyAlignment="1">
      <alignment horizontal="center" vertical="center" wrapText="1"/>
    </xf>
    <xf numFmtId="0" fontId="33" fillId="33" borderId="11" xfId="0" applyFont="1" applyFill="1" applyBorder="1" applyAlignment="1">
      <alignment horizontal="center" vertical="center" wrapText="1"/>
    </xf>
    <xf numFmtId="0" fontId="33" fillId="33" borderId="12" xfId="0" applyFont="1" applyFill="1" applyBorder="1" applyAlignment="1">
      <alignment horizontal="center" vertical="center" wrapText="1"/>
    </xf>
    <xf numFmtId="9" fontId="31" fillId="33" borderId="10" xfId="0" applyNumberFormat="1" applyFont="1" applyFill="1" applyBorder="1" applyAlignment="1">
      <alignment horizontal="center" vertical="center"/>
    </xf>
    <xf numFmtId="9" fontId="31" fillId="33" borderId="11" xfId="0" applyNumberFormat="1" applyFont="1" applyFill="1" applyBorder="1" applyAlignment="1">
      <alignment horizontal="center" vertical="center"/>
    </xf>
    <xf numFmtId="9" fontId="31" fillId="33" borderId="12" xfId="0" applyNumberFormat="1" applyFont="1" applyFill="1" applyBorder="1" applyAlignment="1">
      <alignment horizontal="center" vertical="center"/>
    </xf>
    <xf numFmtId="0" fontId="29" fillId="0" borderId="1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35" borderId="10" xfId="0" applyFont="1" applyFill="1" applyBorder="1" applyAlignment="1">
      <alignment horizontal="left" vertical="center" wrapText="1"/>
    </xf>
    <xf numFmtId="0" fontId="29" fillId="35" borderId="11" xfId="0" applyFont="1" applyFill="1" applyBorder="1" applyAlignment="1">
      <alignment horizontal="left" vertical="center" wrapText="1"/>
    </xf>
    <xf numFmtId="0" fontId="29" fillId="35" borderId="12" xfId="0" applyFont="1" applyFill="1" applyBorder="1" applyAlignment="1">
      <alignment horizontal="left" vertical="center" wrapText="1"/>
    </xf>
    <xf numFmtId="0" fontId="31" fillId="33" borderId="10" xfId="0" applyFont="1" applyFill="1" applyBorder="1" applyAlignment="1">
      <alignment horizontal="left" vertical="top" wrapText="1"/>
    </xf>
    <xf numFmtId="0" fontId="31" fillId="33" borderId="11" xfId="0" applyFont="1" applyFill="1" applyBorder="1" applyAlignment="1">
      <alignment horizontal="left" vertical="top" wrapText="1"/>
    </xf>
    <xf numFmtId="0" fontId="31" fillId="33" borderId="12" xfId="0" applyFont="1" applyFill="1" applyBorder="1" applyAlignment="1">
      <alignment horizontal="left" vertical="top" wrapText="1"/>
    </xf>
    <xf numFmtId="0" fontId="31" fillId="33" borderId="10" xfId="0" applyFont="1" applyFill="1" applyBorder="1" applyAlignment="1">
      <alignment horizontal="left" vertical="center"/>
    </xf>
    <xf numFmtId="0" fontId="31" fillId="33" borderId="11" xfId="0" applyFont="1" applyFill="1" applyBorder="1" applyAlignment="1">
      <alignment horizontal="left" vertical="center"/>
    </xf>
    <xf numFmtId="0" fontId="31" fillId="33" borderId="12" xfId="0" applyFont="1" applyFill="1" applyBorder="1" applyAlignment="1">
      <alignment horizontal="left" vertical="center"/>
    </xf>
    <xf numFmtId="0" fontId="18" fillId="35" borderId="10" xfId="0" applyFont="1" applyFill="1" applyBorder="1" applyAlignment="1">
      <alignment horizontal="center" vertical="top" wrapText="1"/>
    </xf>
    <xf numFmtId="0" fontId="18" fillId="35" borderId="11" xfId="0" applyFont="1" applyFill="1" applyBorder="1" applyAlignment="1">
      <alignment horizontal="center" vertical="top"/>
    </xf>
    <xf numFmtId="0" fontId="18" fillId="35" borderId="12" xfId="0" applyFont="1" applyFill="1" applyBorder="1" applyAlignment="1">
      <alignment horizontal="center" vertical="top"/>
    </xf>
    <xf numFmtId="0" fontId="31" fillId="33" borderId="10" xfId="0" applyFont="1" applyFill="1" applyBorder="1" applyAlignment="1">
      <alignment horizontal="left" vertical="center" wrapText="1"/>
    </xf>
    <xf numFmtId="0" fontId="31" fillId="33" borderId="11" xfId="0" applyFont="1" applyFill="1" applyBorder="1" applyAlignment="1">
      <alignment horizontal="left" vertical="center" wrapText="1"/>
    </xf>
    <xf numFmtId="0" fontId="31" fillId="33" borderId="12" xfId="0" applyFont="1" applyFill="1" applyBorder="1" applyAlignment="1">
      <alignment horizontal="left" vertical="center" wrapText="1"/>
    </xf>
    <xf numFmtId="0" fontId="18" fillId="37" borderId="10" xfId="0" applyFont="1" applyFill="1" applyBorder="1" applyAlignment="1">
      <alignment horizontal="left" vertical="top" wrapText="1"/>
    </xf>
    <xf numFmtId="0" fontId="18" fillId="37" borderId="11" xfId="0" applyFont="1" applyFill="1" applyBorder="1" applyAlignment="1">
      <alignment horizontal="left" vertical="top"/>
    </xf>
    <xf numFmtId="0" fontId="18" fillId="37" borderId="12" xfId="0" applyFont="1" applyFill="1" applyBorder="1" applyAlignment="1">
      <alignment horizontal="left" vertical="top"/>
    </xf>
    <xf numFmtId="0" fontId="29" fillId="33" borderId="10"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3" borderId="12" xfId="0" applyFont="1" applyFill="1" applyBorder="1" applyAlignment="1">
      <alignment horizontal="center" vertical="center" wrapText="1"/>
    </xf>
    <xf numFmtId="0" fontId="61" fillId="33" borderId="10" xfId="0" applyFont="1" applyFill="1" applyBorder="1" applyAlignment="1">
      <alignment horizontal="center" vertical="center" wrapText="1"/>
    </xf>
    <xf numFmtId="0" fontId="61" fillId="33" borderId="11" xfId="0" applyFont="1" applyFill="1" applyBorder="1" applyAlignment="1">
      <alignment horizontal="center" vertical="center" wrapText="1"/>
    </xf>
    <xf numFmtId="0" fontId="61" fillId="33" borderId="12" xfId="0" applyFont="1" applyFill="1" applyBorder="1" applyAlignment="1">
      <alignment horizontal="center" vertical="center" wrapText="1"/>
    </xf>
    <xf numFmtId="0" fontId="61" fillId="33" borderId="10" xfId="0" applyFont="1" applyFill="1" applyBorder="1" applyAlignment="1">
      <alignment horizontal="center" vertical="center"/>
    </xf>
    <xf numFmtId="0" fontId="61" fillId="33" borderId="11" xfId="0" applyFont="1" applyFill="1" applyBorder="1" applyAlignment="1">
      <alignment horizontal="center" vertical="center"/>
    </xf>
    <xf numFmtId="0" fontId="61" fillId="33" borderId="12" xfId="0" applyFont="1" applyFill="1" applyBorder="1" applyAlignment="1">
      <alignment horizontal="center" vertical="center"/>
    </xf>
    <xf numFmtId="0" fontId="29" fillId="0" borderId="14" xfId="0" applyFont="1" applyBorder="1" applyAlignment="1">
      <alignment horizontal="left" vertical="top" wrapText="1"/>
    </xf>
    <xf numFmtId="0" fontId="29" fillId="0" borderId="17" xfId="0" applyFont="1" applyBorder="1" applyAlignment="1">
      <alignment horizontal="left" vertical="top" wrapText="1"/>
    </xf>
    <xf numFmtId="0" fontId="29" fillId="0" borderId="18" xfId="0" applyFont="1" applyBorder="1" applyAlignment="1">
      <alignment horizontal="left" vertical="top" wrapText="1"/>
    </xf>
    <xf numFmtId="0" fontId="31" fillId="33" borderId="14" xfId="0" applyFont="1" applyFill="1" applyBorder="1" applyAlignment="1">
      <alignment horizontal="left" vertical="center" wrapText="1"/>
    </xf>
    <xf numFmtId="0" fontId="31" fillId="33" borderId="17" xfId="0" applyFont="1" applyFill="1" applyBorder="1" applyAlignment="1">
      <alignment horizontal="left" vertical="center" wrapText="1"/>
    </xf>
    <xf numFmtId="0" fontId="31" fillId="33" borderId="18" xfId="0" applyFont="1" applyFill="1" applyBorder="1" applyAlignment="1">
      <alignment horizontal="left" vertical="center" wrapText="1"/>
    </xf>
    <xf numFmtId="0" fontId="31" fillId="33" borderId="16" xfId="0" applyFont="1" applyFill="1" applyBorder="1" applyAlignment="1">
      <alignment horizontal="left" vertical="center" wrapText="1"/>
    </xf>
    <xf numFmtId="0" fontId="31" fillId="33" borderId="0" xfId="0" applyFont="1" applyFill="1" applyBorder="1" applyAlignment="1">
      <alignment horizontal="left" vertical="center" wrapText="1"/>
    </xf>
    <xf numFmtId="0" fontId="31" fillId="33" borderId="19" xfId="0" applyFont="1" applyFill="1" applyBorder="1" applyAlignment="1">
      <alignment horizontal="left" vertical="center" wrapText="1"/>
    </xf>
    <xf numFmtId="0" fontId="31" fillId="33" borderId="20" xfId="0" applyFont="1" applyFill="1" applyBorder="1" applyAlignment="1">
      <alignment horizontal="left" vertical="center" wrapText="1"/>
    </xf>
    <xf numFmtId="0" fontId="31" fillId="33" borderId="21" xfId="0" applyFont="1" applyFill="1" applyBorder="1" applyAlignment="1">
      <alignment horizontal="left" vertical="center" wrapText="1"/>
    </xf>
    <xf numFmtId="0" fontId="31" fillId="33" borderId="22" xfId="0" applyFont="1" applyFill="1" applyBorder="1" applyAlignment="1">
      <alignment horizontal="left" vertical="center" wrapText="1"/>
    </xf>
    <xf numFmtId="0" fontId="56" fillId="35" borderId="10" xfId="0" applyFont="1" applyFill="1" applyBorder="1" applyAlignment="1">
      <alignment horizontal="center" vertical="center"/>
    </xf>
    <xf numFmtId="0" fontId="56" fillId="35" borderId="11" xfId="0" applyFont="1" applyFill="1" applyBorder="1" applyAlignment="1">
      <alignment horizontal="center" vertical="center"/>
    </xf>
    <xf numFmtId="0" fontId="56" fillId="35" borderId="12" xfId="0" applyFont="1" applyFill="1" applyBorder="1" applyAlignment="1">
      <alignment horizontal="center" vertical="center"/>
    </xf>
    <xf numFmtId="0" fontId="56" fillId="33" borderId="10" xfId="0" applyFont="1" applyFill="1" applyBorder="1" applyAlignment="1">
      <alignment horizontal="left" vertical="top" wrapText="1"/>
    </xf>
    <xf numFmtId="0" fontId="56" fillId="33" borderId="11" xfId="0" applyFont="1" applyFill="1" applyBorder="1" applyAlignment="1">
      <alignment horizontal="left" vertical="top" wrapText="1"/>
    </xf>
    <xf numFmtId="0" fontId="56" fillId="33" borderId="12" xfId="0" applyFont="1" applyFill="1" applyBorder="1" applyAlignment="1">
      <alignment horizontal="left" vertical="top" wrapText="1"/>
    </xf>
    <xf numFmtId="9" fontId="18" fillId="33" borderId="10" xfId="0" applyNumberFormat="1" applyFont="1" applyFill="1" applyBorder="1" applyAlignment="1">
      <alignment horizontal="center" vertical="center"/>
    </xf>
    <xf numFmtId="9" fontId="18" fillId="33" borderId="11" xfId="0" applyNumberFormat="1" applyFont="1" applyFill="1" applyBorder="1" applyAlignment="1">
      <alignment horizontal="center" vertical="center"/>
    </xf>
    <xf numFmtId="9" fontId="18" fillId="33" borderId="12" xfId="0" applyNumberFormat="1" applyFont="1" applyFill="1" applyBorder="1" applyAlignment="1">
      <alignment horizontal="center" vertical="center"/>
    </xf>
    <xf numFmtId="9" fontId="29" fillId="33" borderId="10" xfId="0" applyNumberFormat="1" applyFont="1" applyFill="1" applyBorder="1" applyAlignment="1">
      <alignment horizontal="center" vertical="center"/>
    </xf>
    <xf numFmtId="9" fontId="29" fillId="33" borderId="11" xfId="0" applyNumberFormat="1" applyFont="1" applyFill="1" applyBorder="1" applyAlignment="1">
      <alignment horizontal="center" vertical="center"/>
    </xf>
    <xf numFmtId="9" fontId="29" fillId="33" borderId="12" xfId="0" applyNumberFormat="1" applyFont="1" applyFill="1" applyBorder="1" applyAlignment="1">
      <alignment horizontal="center" vertical="center"/>
    </xf>
    <xf numFmtId="0" fontId="30" fillId="35" borderId="10" xfId="0" applyFont="1" applyFill="1" applyBorder="1" applyAlignment="1">
      <alignment horizontal="center" vertical="center"/>
    </xf>
    <xf numFmtId="0" fontId="30" fillId="35" borderId="11" xfId="0" applyFont="1" applyFill="1" applyBorder="1" applyAlignment="1">
      <alignment horizontal="center" vertical="center"/>
    </xf>
    <xf numFmtId="0" fontId="30" fillId="35" borderId="12" xfId="0" applyFont="1" applyFill="1" applyBorder="1" applyAlignment="1">
      <alignment horizontal="center" vertical="center"/>
    </xf>
    <xf numFmtId="0" fontId="18" fillId="35" borderId="11" xfId="0" applyFont="1" applyFill="1" applyBorder="1" applyAlignment="1">
      <alignment horizontal="center" vertical="top" wrapText="1"/>
    </xf>
    <xf numFmtId="0" fontId="18" fillId="35" borderId="12" xfId="0" applyFont="1" applyFill="1" applyBorder="1" applyAlignment="1">
      <alignment horizontal="center" vertical="top" wrapText="1"/>
    </xf>
    <xf numFmtId="0" fontId="29" fillId="33" borderId="23" xfId="0" applyFont="1" applyFill="1" applyBorder="1" applyAlignment="1">
      <alignment horizontal="center" vertical="center" wrapText="1"/>
    </xf>
    <xf numFmtId="0" fontId="29" fillId="33" borderId="24" xfId="0" applyFont="1" applyFill="1" applyBorder="1" applyAlignment="1">
      <alignment horizontal="center" vertical="center" wrapText="1"/>
    </xf>
    <xf numFmtId="0" fontId="29" fillId="35" borderId="10" xfId="0" applyFont="1" applyFill="1" applyBorder="1" applyAlignment="1">
      <alignment horizontal="center" vertical="center"/>
    </xf>
    <xf numFmtId="0" fontId="29" fillId="35" borderId="11" xfId="0" applyFont="1" applyFill="1" applyBorder="1" applyAlignment="1">
      <alignment horizontal="center" vertical="center"/>
    </xf>
    <xf numFmtId="0" fontId="29" fillId="35" borderId="12" xfId="0" applyFont="1" applyFill="1" applyBorder="1" applyAlignment="1">
      <alignment horizontal="center" vertical="center"/>
    </xf>
    <xf numFmtId="0" fontId="30" fillId="35" borderId="10" xfId="0" applyFont="1" applyFill="1" applyBorder="1" applyAlignment="1">
      <alignment horizontal="center" vertical="center" wrapText="1"/>
    </xf>
    <xf numFmtId="0" fontId="30"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9" fontId="30" fillId="35" borderId="10" xfId="0" applyNumberFormat="1" applyFont="1" applyFill="1" applyBorder="1" applyAlignment="1">
      <alignment horizontal="center" vertical="center"/>
    </xf>
    <xf numFmtId="9" fontId="30" fillId="35" borderId="11" xfId="0" applyNumberFormat="1" applyFont="1" applyFill="1" applyBorder="1" applyAlignment="1">
      <alignment horizontal="center" vertical="center"/>
    </xf>
    <xf numFmtId="9" fontId="30" fillId="35" borderId="12" xfId="0" applyNumberFormat="1" applyFont="1" applyFill="1" applyBorder="1" applyAlignment="1">
      <alignment horizontal="center" vertical="center"/>
    </xf>
    <xf numFmtId="9" fontId="29" fillId="35" borderId="10" xfId="0" applyNumberFormat="1" applyFont="1" applyFill="1" applyBorder="1" applyAlignment="1">
      <alignment horizontal="center" vertical="center"/>
    </xf>
    <xf numFmtId="9" fontId="29" fillId="35" borderId="11" xfId="0" applyNumberFormat="1" applyFont="1" applyFill="1" applyBorder="1" applyAlignment="1">
      <alignment horizontal="center" vertical="center"/>
    </xf>
    <xf numFmtId="9" fontId="29" fillId="35" borderId="12" xfId="0" applyNumberFormat="1" applyFont="1" applyFill="1" applyBorder="1" applyAlignment="1">
      <alignment horizontal="center" vertical="center"/>
    </xf>
    <xf numFmtId="3" fontId="29" fillId="33" borderId="16" xfId="0" applyNumberFormat="1" applyFont="1" applyFill="1" applyBorder="1" applyAlignment="1">
      <alignment horizontal="center" vertical="center" wrapText="1"/>
    </xf>
    <xf numFmtId="0" fontId="62" fillId="33" borderId="0" xfId="0" applyFont="1" applyFill="1"/>
  </cellXfs>
  <cellStyles count="61">
    <cellStyle name="20% - Accent1 2" xfId="20"/>
    <cellStyle name="20% - Accent2 2" xfId="24"/>
    <cellStyle name="20% - Accent3 2" xfId="28"/>
    <cellStyle name="20% - Accent4 2" xfId="32"/>
    <cellStyle name="20% - Accent5 2" xfId="36"/>
    <cellStyle name="20% - Accent6 2" xfId="40"/>
    <cellStyle name="40% - Accent1 2" xfId="21"/>
    <cellStyle name="40% - Accent2 2" xfId="25"/>
    <cellStyle name="40% - Accent3 2" xfId="29"/>
    <cellStyle name="40% - Accent4 2" xfId="33"/>
    <cellStyle name="40% - Accent5 2" xfId="37"/>
    <cellStyle name="40% - Accent6 2" xfId="41"/>
    <cellStyle name="60% - Accent1 2" xfId="22"/>
    <cellStyle name="60% - Accent2 2" xfId="26"/>
    <cellStyle name="60% - Accent3 2" xfId="30"/>
    <cellStyle name="60% - Accent4 2" xfId="34"/>
    <cellStyle name="60% - Accent5 2" xfId="38"/>
    <cellStyle name="60% - Accent6 2" xfId="42"/>
    <cellStyle name="Accent1 2" xfId="19"/>
    <cellStyle name="Accent2 2" xfId="23"/>
    <cellStyle name="Accent3 2" xfId="27"/>
    <cellStyle name="Accent4 2" xfId="31"/>
    <cellStyle name="Accent5 2" xfId="35"/>
    <cellStyle name="Accent6 2" xfId="39"/>
    <cellStyle name="Bad 2" xfId="8"/>
    <cellStyle name="Calculation 2" xfId="12"/>
    <cellStyle name="Check Cell 2" xfId="14"/>
    <cellStyle name="Comma 2" xfId="46"/>
    <cellStyle name="Comma 2 2" xfId="49"/>
    <cellStyle name="Comma 2 2 2" xfId="58"/>
    <cellStyle name="Comma 2 2 3 3" xfId="52"/>
    <cellStyle name="Comma 2 3" xfId="51"/>
    <cellStyle name="Comma 2 3 2" xfId="55"/>
    <cellStyle name="Comma 2 4" xfId="54"/>
    <cellStyle name="Comma 2 5" xfId="57"/>
    <cellStyle name="Comma 3" xfId="53"/>
    <cellStyle name="Comma 3 2" xfId="47"/>
    <cellStyle name="Explanatory Text 2" xfId="17"/>
    <cellStyle name="Good 2" xfId="7"/>
    <cellStyle name="Heading 1 2" xfId="3"/>
    <cellStyle name="Heading 2 2" xfId="4"/>
    <cellStyle name="Heading 3 2" xfId="5"/>
    <cellStyle name="Heading 4 2" xfId="6"/>
    <cellStyle name="Input 2" xfId="10"/>
    <cellStyle name="Linked Cell 2" xfId="13"/>
    <cellStyle name="Neutral 2" xfId="9"/>
    <cellStyle name="Normal" xfId="0" builtinId="0"/>
    <cellStyle name="Normal 2" xfId="43"/>
    <cellStyle name="Normal 2 3" xfId="50"/>
    <cellStyle name="Normal 3" xfId="45"/>
    <cellStyle name="Normal 4" xfId="56"/>
    <cellStyle name="Normal 4 2" xfId="48"/>
    <cellStyle name="Normal 5" xfId="1"/>
    <cellStyle name="Normal 7" xfId="59"/>
    <cellStyle name="Normal 9" xfId="60"/>
    <cellStyle name="Note 2" xfId="16"/>
    <cellStyle name="Output 2" xfId="11"/>
    <cellStyle name="Percent 2" xfId="44"/>
    <cellStyle name="Title 2" xfId="2"/>
    <cellStyle name="Total 2" xfId="18"/>
    <cellStyle name="Warning Text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394608</xdr:colOff>
          <xdr:row>2</xdr:row>
          <xdr:rowOff>176892</xdr:rowOff>
        </xdr:from>
        <xdr:to>
          <xdr:col>6</xdr:col>
          <xdr:colOff>1680483</xdr:colOff>
          <xdr:row>812</xdr:row>
          <xdr:rowOff>43542</xdr:rowOff>
        </xdr:to>
        <xdr:pic>
          <xdr:nvPicPr>
            <xdr:cNvPr id="2" name="Picture 1"/>
            <xdr:cNvPicPr>
              <a:picLocks noChangeAspect="1" noChangeArrowheads="1"/>
              <a:extLst>
                <a:ext uri="{84589F7E-364E-4C9E-8A38-B11213B215E9}">
                  <a14:cameraTool cellRange="'[3]Formati 2.1 Sipas Tavaneve'!$C$5:$G$821" spid="_x0000_s9250"/>
                </a:ext>
              </a:extLst>
            </xdr:cNvPicPr>
          </xdr:nvPicPr>
          <xdr:blipFill>
            <a:blip xmlns:r="http://schemas.openxmlformats.org/officeDocument/2006/relationships" r:embed="rId1"/>
            <a:srcRect/>
            <a:stretch>
              <a:fillRect/>
            </a:stretch>
          </xdr:blipFill>
          <xdr:spPr bwMode="auto">
            <a:xfrm>
              <a:off x="1619251" y="557892"/>
              <a:ext cx="6470196" cy="1541716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SHP_Final_Formatet%20e%20Raporteve%20te%20PBA%202019-2021%20-%20final_MSH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BA%202019-2021-QKB_Formatet%20e%20Raportev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matet%20e%20PBA%202019-2021%20-%20IS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1 Misioni"/>
      <sheetName val="Formati 2 Politika Ekzistuese"/>
      <sheetName val="Formati 2.1 Sipas Tavaneve"/>
      <sheetName val="Formati 3 Politika te reja"/>
      <sheetName val="F.4. Alokimi i tavaneve per PE"/>
      <sheetName val="F.5. Investimet ne vazhdim"/>
    </sheetNames>
    <sheetDataSet>
      <sheetData sheetId="0" refreshError="1"/>
      <sheetData sheetId="1" refreshError="1"/>
      <sheetData sheetId="2">
        <row r="2">
          <cell r="C2" t="str">
            <v xml:space="preserve">FORMAT 2.1 : FORMATI STANDARD I PËRGATITJES SË KËRKESAVE BUXHETORE PBA 2019-2021 </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1 Misioni"/>
      <sheetName val="Formati 2 Politika Ekzistuese"/>
      <sheetName val="Formati 2.1 Sipas Tavaneve"/>
      <sheetName val="Formati 3 Politika te reja"/>
      <sheetName val="F.4. Alokimi i tavaneve per PE"/>
      <sheetName val="F.5. Investimet ne vazhdim"/>
      <sheetName val="F.6.Investime te reja"/>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1 Misioni"/>
      <sheetName val="Formati 2 Politika Ekzistuese"/>
      <sheetName val="Formati 2.1 Sipas Tavaneve"/>
      <sheetName val="Formati 3 Politika te reja"/>
      <sheetName val="F.4. Alokimi i tavaneve per PE"/>
      <sheetName val="F.5. Investimet ne vazhdim"/>
      <sheetName val="F.6.Investime te reja"/>
      <sheetName val="p_ekzis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AppData/Local/Microsoft/Windows/Temporary%20Internet%20Files/AppData/Local/Temp/09240-%20Arsimi%20i%20mesem%20profesional%20Formatet%20e%20Raporteve%20te%20PBA%202019-2021%20-%20final.xlsx"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J24"/>
  <sheetViews>
    <sheetView topLeftCell="C20" workbookViewId="0">
      <selection activeCell="F17" sqref="F17:J17"/>
    </sheetView>
  </sheetViews>
  <sheetFormatPr defaultRowHeight="15" x14ac:dyDescent="0.25"/>
  <cols>
    <col min="1" max="2" width="0" hidden="1" customWidth="1"/>
    <col min="4" max="4" width="58.42578125" customWidth="1"/>
    <col min="5" max="5" width="11.5703125" customWidth="1"/>
    <col min="10" max="10" width="48" customWidth="1"/>
  </cols>
  <sheetData>
    <row r="4" spans="4:10" x14ac:dyDescent="0.25">
      <c r="D4" s="2" t="s">
        <v>0</v>
      </c>
      <c r="E4" s="3"/>
      <c r="F4" s="3"/>
      <c r="G4" s="3"/>
      <c r="H4" s="1"/>
      <c r="I4" s="1"/>
      <c r="J4" s="1"/>
    </row>
    <row r="6" spans="4:10" ht="15.75" thickBot="1" x14ac:dyDescent="0.3">
      <c r="D6" s="1"/>
      <c r="E6" s="1"/>
      <c r="F6" s="1"/>
      <c r="G6" s="1"/>
      <c r="H6" s="1"/>
      <c r="I6" s="1"/>
      <c r="J6" s="1"/>
    </row>
    <row r="7" spans="4:10" ht="65.25" customHeight="1" thickBot="1" x14ac:dyDescent="0.3">
      <c r="D7" s="4" t="s">
        <v>1</v>
      </c>
      <c r="E7" s="288" t="s">
        <v>641</v>
      </c>
      <c r="F7" s="289"/>
      <c r="G7" s="289"/>
      <c r="H7" s="289"/>
      <c r="I7" s="289"/>
      <c r="J7" s="290"/>
    </row>
    <row r="8" spans="4:10" ht="30" customHeight="1" thickBot="1" x14ac:dyDescent="0.3">
      <c r="D8" s="6" t="s">
        <v>2</v>
      </c>
      <c r="E8" s="294" t="s">
        <v>3</v>
      </c>
      <c r="F8" s="295"/>
      <c r="G8" s="295"/>
      <c r="H8" s="295"/>
      <c r="I8" s="295"/>
      <c r="J8" s="296"/>
    </row>
    <row r="9" spans="4:10" ht="153.75" customHeight="1" thickBot="1" x14ac:dyDescent="0.3">
      <c r="D9" s="6" t="s">
        <v>4</v>
      </c>
      <c r="E9" s="297" t="s">
        <v>32</v>
      </c>
      <c r="F9" s="298"/>
      <c r="G9" s="298"/>
      <c r="H9" s="298"/>
      <c r="I9" s="298"/>
      <c r="J9" s="299"/>
    </row>
    <row r="10" spans="4:10" ht="32.25" thickBot="1" x14ac:dyDescent="0.3">
      <c r="D10" s="4" t="s">
        <v>5</v>
      </c>
      <c r="E10" s="4" t="s">
        <v>6</v>
      </c>
      <c r="F10" s="289" t="s">
        <v>7</v>
      </c>
      <c r="G10" s="289"/>
      <c r="H10" s="289"/>
      <c r="I10" s="289"/>
      <c r="J10" s="290"/>
    </row>
    <row r="11" spans="4:10" ht="43.5" hidden="1" customHeight="1" thickBot="1" x14ac:dyDescent="0.3">
      <c r="D11" s="7" t="s">
        <v>10</v>
      </c>
      <c r="E11" s="5" t="s">
        <v>8</v>
      </c>
      <c r="F11" s="291"/>
      <c r="G11" s="292"/>
      <c r="H11" s="292"/>
      <c r="I11" s="292"/>
      <c r="J11" s="293"/>
    </row>
    <row r="12" spans="4:10" ht="75" customHeight="1" thickBot="1" x14ac:dyDescent="0.3">
      <c r="D12" s="6" t="s">
        <v>11</v>
      </c>
      <c r="E12" s="5" t="s">
        <v>12</v>
      </c>
      <c r="F12" s="291" t="s">
        <v>38</v>
      </c>
      <c r="G12" s="292"/>
      <c r="H12" s="292"/>
      <c r="I12" s="292"/>
      <c r="J12" s="293"/>
    </row>
    <row r="13" spans="4:10" ht="16.5" hidden="1" thickBot="1" x14ac:dyDescent="0.3">
      <c r="D13" s="6" t="s">
        <v>13</v>
      </c>
      <c r="E13" s="5" t="s">
        <v>14</v>
      </c>
      <c r="F13" s="291"/>
      <c r="G13" s="292"/>
      <c r="H13" s="292"/>
      <c r="I13" s="292"/>
      <c r="J13" s="293"/>
    </row>
    <row r="14" spans="4:10" ht="31.5" customHeight="1" thickBot="1" x14ac:dyDescent="0.3">
      <c r="D14" s="6" t="s">
        <v>15</v>
      </c>
      <c r="E14" s="5" t="s">
        <v>16</v>
      </c>
      <c r="F14" s="291" t="s">
        <v>137</v>
      </c>
      <c r="G14" s="292"/>
      <c r="H14" s="292"/>
      <c r="I14" s="292"/>
      <c r="J14" s="293"/>
    </row>
    <row r="15" spans="4:10" ht="33" customHeight="1" thickBot="1" x14ac:dyDescent="0.3">
      <c r="D15" s="6" t="s">
        <v>17</v>
      </c>
      <c r="E15" s="5" t="s">
        <v>18</v>
      </c>
      <c r="F15" s="291" t="s">
        <v>238</v>
      </c>
      <c r="G15" s="292"/>
      <c r="H15" s="292"/>
      <c r="I15" s="292"/>
      <c r="J15" s="293"/>
    </row>
    <row r="16" spans="4:10" ht="66" customHeight="1" thickBot="1" x14ac:dyDescent="0.3">
      <c r="D16" s="7" t="s">
        <v>19</v>
      </c>
      <c r="E16" s="5" t="s">
        <v>9</v>
      </c>
      <c r="F16" s="300" t="s">
        <v>331</v>
      </c>
      <c r="G16" s="301"/>
      <c r="H16" s="301"/>
      <c r="I16" s="301"/>
      <c r="J16" s="302"/>
    </row>
    <row r="17" spans="4:10" ht="65.25" customHeight="1" thickBot="1" x14ac:dyDescent="0.3">
      <c r="D17" s="6" t="s">
        <v>20</v>
      </c>
      <c r="E17" s="5" t="s">
        <v>26</v>
      </c>
      <c r="F17" s="300" t="s">
        <v>350</v>
      </c>
      <c r="G17" s="301"/>
      <c r="H17" s="301"/>
      <c r="I17" s="301"/>
      <c r="J17" s="302"/>
    </row>
    <row r="18" spans="4:10" ht="85.5" customHeight="1" thickBot="1" x14ac:dyDescent="0.3">
      <c r="D18" s="6" t="s">
        <v>21</v>
      </c>
      <c r="E18" s="5" t="s">
        <v>28</v>
      </c>
      <c r="F18" s="291" t="s">
        <v>637</v>
      </c>
      <c r="G18" s="292"/>
      <c r="H18" s="292"/>
      <c r="I18" s="292"/>
      <c r="J18" s="293"/>
    </row>
    <row r="19" spans="4:10" ht="103.5" customHeight="1" thickBot="1" x14ac:dyDescent="0.3">
      <c r="D19" s="6" t="s">
        <v>22</v>
      </c>
      <c r="E19" s="5">
        <v>10220</v>
      </c>
      <c r="F19" s="291" t="s">
        <v>638</v>
      </c>
      <c r="G19" s="292"/>
      <c r="H19" s="292"/>
      <c r="I19" s="292"/>
      <c r="J19" s="293"/>
    </row>
    <row r="20" spans="4:10" ht="92.25" customHeight="1" thickBot="1" x14ac:dyDescent="0.3">
      <c r="D20" s="6" t="s">
        <v>23</v>
      </c>
      <c r="E20" s="5">
        <v>10550</v>
      </c>
      <c r="F20" s="291" t="s">
        <v>515</v>
      </c>
      <c r="G20" s="292"/>
      <c r="H20" s="292"/>
      <c r="I20" s="292"/>
      <c r="J20" s="293"/>
    </row>
    <row r="21" spans="4:10" ht="56.25" customHeight="1" thickBot="1" x14ac:dyDescent="0.3">
      <c r="D21" s="7" t="s">
        <v>24</v>
      </c>
      <c r="E21" s="5" t="s">
        <v>29</v>
      </c>
      <c r="F21" s="291" t="s">
        <v>547</v>
      </c>
      <c r="G21" s="292"/>
      <c r="H21" s="292"/>
      <c r="I21" s="292"/>
      <c r="J21" s="293"/>
    </row>
    <row r="22" spans="4:10" ht="84.75" customHeight="1" thickBot="1" x14ac:dyDescent="0.3">
      <c r="D22" s="6" t="s">
        <v>25</v>
      </c>
      <c r="E22" s="5" t="s">
        <v>30</v>
      </c>
      <c r="F22" s="291" t="s">
        <v>555</v>
      </c>
      <c r="G22" s="292"/>
      <c r="H22" s="292"/>
      <c r="I22" s="292"/>
      <c r="J22" s="293"/>
    </row>
    <row r="23" spans="4:10" ht="60.75" customHeight="1" thickBot="1" x14ac:dyDescent="0.3">
      <c r="D23" s="6" t="s">
        <v>27</v>
      </c>
      <c r="E23" s="5" t="s">
        <v>31</v>
      </c>
      <c r="F23" s="291" t="s">
        <v>605</v>
      </c>
      <c r="G23" s="292"/>
      <c r="H23" s="292"/>
      <c r="I23" s="292"/>
      <c r="J23" s="293"/>
    </row>
    <row r="24" spans="4:10" x14ac:dyDescent="0.25">
      <c r="J24" s="187"/>
    </row>
  </sheetData>
  <mergeCells count="17">
    <mergeCell ref="F16:J16"/>
    <mergeCell ref="F13:J13"/>
    <mergeCell ref="F14:J14"/>
    <mergeCell ref="F22:J22"/>
    <mergeCell ref="F23:J23"/>
    <mergeCell ref="F17:J17"/>
    <mergeCell ref="F18:J18"/>
    <mergeCell ref="F19:J19"/>
    <mergeCell ref="F20:J20"/>
    <mergeCell ref="F21:J21"/>
    <mergeCell ref="E7:J7"/>
    <mergeCell ref="F10:J10"/>
    <mergeCell ref="F11:J11"/>
    <mergeCell ref="F15:J15"/>
    <mergeCell ref="E8:J8"/>
    <mergeCell ref="E9:J9"/>
    <mergeCell ref="F12:J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K59"/>
  <sheetViews>
    <sheetView topLeftCell="B8" zoomScale="140" zoomScaleNormal="140" workbookViewId="0">
      <selection activeCell="G60" sqref="G60"/>
    </sheetView>
  </sheetViews>
  <sheetFormatPr defaultRowHeight="15" x14ac:dyDescent="0.25"/>
  <cols>
    <col min="4" max="4" width="35" customWidth="1"/>
    <col min="5" max="7" width="21.42578125" customWidth="1"/>
    <col min="8" max="8" width="31.7109375" customWidth="1"/>
  </cols>
  <sheetData>
    <row r="2" spans="4:11" x14ac:dyDescent="0.25">
      <c r="D2" s="376" t="s">
        <v>33</v>
      </c>
      <c r="E2" s="376"/>
      <c r="F2" s="376"/>
      <c r="G2" s="376"/>
      <c r="H2" s="376"/>
    </row>
    <row r="3" spans="4:11" ht="15.75" thickBot="1" x14ac:dyDescent="0.3"/>
    <row r="4" spans="4:11" ht="15.75" thickBot="1" x14ac:dyDescent="0.3">
      <c r="D4" s="9" t="s">
        <v>34</v>
      </c>
      <c r="E4" s="457" t="s">
        <v>546</v>
      </c>
      <c r="F4" s="457"/>
      <c r="G4" s="457"/>
      <c r="H4" s="457"/>
    </row>
    <row r="5" spans="4:11" ht="15.75" thickBot="1" x14ac:dyDescent="0.3">
      <c r="D5" s="9" t="s">
        <v>6</v>
      </c>
      <c r="E5" s="309" t="s">
        <v>29</v>
      </c>
      <c r="F5" s="310"/>
      <c r="G5" s="310"/>
      <c r="H5" s="311"/>
    </row>
    <row r="6" spans="4:11" ht="15.75" thickBot="1" x14ac:dyDescent="0.3">
      <c r="D6" s="9" t="s">
        <v>36</v>
      </c>
      <c r="E6" s="312" t="s">
        <v>37</v>
      </c>
      <c r="F6" s="313"/>
      <c r="G6" s="313"/>
      <c r="H6" s="314"/>
    </row>
    <row r="7" spans="4:11" ht="15.75" thickBot="1" x14ac:dyDescent="0.3">
      <c r="D7" s="315" t="s">
        <v>7</v>
      </c>
      <c r="E7" s="316"/>
      <c r="F7" s="316"/>
      <c r="G7" s="316"/>
      <c r="H7" s="317"/>
    </row>
    <row r="8" spans="4:11" x14ac:dyDescent="0.25">
      <c r="D8" s="318" t="s">
        <v>547</v>
      </c>
      <c r="E8" s="319"/>
      <c r="F8" s="319"/>
      <c r="G8" s="319"/>
      <c r="H8" s="320"/>
    </row>
    <row r="9" spans="4:11" x14ac:dyDescent="0.25">
      <c r="D9" s="321"/>
      <c r="E9" s="322"/>
      <c r="F9" s="322"/>
      <c r="G9" s="322"/>
      <c r="H9" s="323"/>
    </row>
    <row r="10" spans="4:11" ht="15.75" thickBot="1" x14ac:dyDescent="0.3">
      <c r="D10" s="324"/>
      <c r="E10" s="325"/>
      <c r="F10" s="325"/>
      <c r="G10" s="325"/>
      <c r="H10" s="326"/>
    </row>
    <row r="11" spans="4:11" ht="28.5" customHeight="1" thickBot="1" x14ac:dyDescent="0.3">
      <c r="D11" s="10" t="s">
        <v>39</v>
      </c>
      <c r="E11" s="558" t="s">
        <v>548</v>
      </c>
      <c r="F11" s="559"/>
      <c r="G11" s="559"/>
      <c r="H11" s="560"/>
    </row>
    <row r="12" spans="4:11" x14ac:dyDescent="0.25">
      <c r="D12" s="479" t="s">
        <v>139</v>
      </c>
      <c r="E12" s="170">
        <v>2018</v>
      </c>
      <c r="F12" s="170">
        <v>2019</v>
      </c>
      <c r="G12" s="170">
        <v>2020</v>
      </c>
      <c r="H12" s="170">
        <v>2021</v>
      </c>
      <c r="K12" s="187"/>
    </row>
    <row r="13" spans="4:11" ht="15.75" thickBot="1" x14ac:dyDescent="0.3">
      <c r="D13" s="480"/>
      <c r="E13" s="171" t="s">
        <v>42</v>
      </c>
      <c r="F13" s="171" t="s">
        <v>43</v>
      </c>
      <c r="G13" s="171" t="s">
        <v>43</v>
      </c>
      <c r="H13" s="171" t="s">
        <v>43</v>
      </c>
    </row>
    <row r="14" spans="4:11" ht="15.75" thickBot="1" x14ac:dyDescent="0.3">
      <c r="D14" s="167" t="s">
        <v>549</v>
      </c>
      <c r="E14" s="172">
        <v>0.95</v>
      </c>
      <c r="F14" s="172">
        <v>0.95</v>
      </c>
      <c r="G14" s="172">
        <v>0.95</v>
      </c>
      <c r="H14" s="172">
        <v>0.95</v>
      </c>
    </row>
    <row r="15" spans="4:11" ht="30.75" customHeight="1" thickBot="1" x14ac:dyDescent="0.3">
      <c r="D15" s="51" t="s">
        <v>46</v>
      </c>
      <c r="E15" s="549" t="s">
        <v>550</v>
      </c>
      <c r="F15" s="550"/>
      <c r="G15" s="550"/>
      <c r="H15" s="551"/>
    </row>
    <row r="16" spans="4:11" ht="15.75" thickBot="1" x14ac:dyDescent="0.3">
      <c r="D16" s="18" t="s">
        <v>109</v>
      </c>
      <c r="E16" s="344" t="s">
        <v>551</v>
      </c>
      <c r="F16" s="345"/>
      <c r="G16" s="345"/>
      <c r="H16" s="346"/>
    </row>
    <row r="17" spans="4:8" ht="22.5" customHeight="1" thickBot="1" x14ac:dyDescent="0.3">
      <c r="D17" s="19" t="s">
        <v>73</v>
      </c>
      <c r="E17" s="561" t="s">
        <v>552</v>
      </c>
      <c r="F17" s="562"/>
      <c r="G17" s="562"/>
      <c r="H17" s="563"/>
    </row>
    <row r="18" spans="4:8" ht="15.75" thickBot="1" x14ac:dyDescent="0.3">
      <c r="D18" s="19" t="s">
        <v>75</v>
      </c>
      <c r="E18" s="555" t="s">
        <v>553</v>
      </c>
      <c r="F18" s="556"/>
      <c r="G18" s="556"/>
      <c r="H18" s="557"/>
    </row>
    <row r="19" spans="4:8" x14ac:dyDescent="0.25">
      <c r="D19" s="350"/>
      <c r="E19" s="20">
        <v>2018</v>
      </c>
      <c r="F19" s="20">
        <v>2019</v>
      </c>
      <c r="G19" s="20">
        <v>2020</v>
      </c>
      <c r="H19" s="20">
        <v>2021</v>
      </c>
    </row>
    <row r="20" spans="4:8" ht="15.75" thickBot="1" x14ac:dyDescent="0.3">
      <c r="D20" s="351"/>
      <c r="E20" s="21" t="s">
        <v>42</v>
      </c>
      <c r="F20" s="21" t="s">
        <v>43</v>
      </c>
      <c r="G20" s="21" t="s">
        <v>43</v>
      </c>
      <c r="H20" s="21" t="s">
        <v>43</v>
      </c>
    </row>
    <row r="21" spans="4:8" ht="15.75" thickBot="1" x14ac:dyDescent="0.3">
      <c r="D21" s="19" t="s">
        <v>77</v>
      </c>
      <c r="E21" s="22">
        <v>10000</v>
      </c>
      <c r="F21" s="22">
        <v>11000</v>
      </c>
      <c r="G21" s="22">
        <v>11000</v>
      </c>
      <c r="H21" s="22">
        <v>11000</v>
      </c>
    </row>
    <row r="22" spans="4:8" ht="15.75" thickBot="1" x14ac:dyDescent="0.3">
      <c r="D22" s="19" t="s">
        <v>78</v>
      </c>
      <c r="E22" s="22">
        <v>164034</v>
      </c>
      <c r="F22" s="22">
        <v>164034</v>
      </c>
      <c r="G22" s="22">
        <v>164034</v>
      </c>
      <c r="H22" s="22">
        <v>164034</v>
      </c>
    </row>
    <row r="23" spans="4:8" ht="15.75" thickBot="1" x14ac:dyDescent="0.3">
      <c r="D23" s="19" t="s">
        <v>79</v>
      </c>
      <c r="E23" s="22">
        <v>16.403400000000001</v>
      </c>
      <c r="F23" s="22">
        <v>14.912181818181818</v>
      </c>
      <c r="G23" s="22">
        <v>14.912181818181818</v>
      </c>
      <c r="H23" s="22">
        <v>14.912181818181818</v>
      </c>
    </row>
    <row r="24" spans="4:8" ht="15.75" thickBot="1" x14ac:dyDescent="0.3">
      <c r="D24" s="19" t="s">
        <v>80</v>
      </c>
      <c r="E24" s="23" t="s">
        <v>81</v>
      </c>
      <c r="F24" s="13">
        <v>0.10000000000000009</v>
      </c>
      <c r="G24" s="13">
        <v>0</v>
      </c>
      <c r="H24" s="13">
        <v>0</v>
      </c>
    </row>
    <row r="25" spans="4:8" ht="15.75" thickBot="1" x14ac:dyDescent="0.3">
      <c r="D25" s="19" t="s">
        <v>82</v>
      </c>
      <c r="E25" s="23" t="s">
        <v>81</v>
      </c>
      <c r="F25" s="13">
        <v>0</v>
      </c>
      <c r="G25" s="13">
        <v>0</v>
      </c>
      <c r="H25" s="13">
        <v>0</v>
      </c>
    </row>
    <row r="26" spans="4:8" ht="15.75" thickBot="1" x14ac:dyDescent="0.3">
      <c r="D26" s="19" t="s">
        <v>83</v>
      </c>
      <c r="E26" s="23" t="s">
        <v>81</v>
      </c>
      <c r="F26" s="13">
        <v>-9.090909090909105E-2</v>
      </c>
      <c r="G26" s="13">
        <v>0</v>
      </c>
      <c r="H26" s="13">
        <v>0</v>
      </c>
    </row>
    <row r="27" spans="4:8" ht="15.75" thickBot="1" x14ac:dyDescent="0.3">
      <c r="D27" s="338" t="s">
        <v>84</v>
      </c>
      <c r="E27" s="339"/>
      <c r="F27" s="339"/>
      <c r="G27" s="339"/>
      <c r="H27" s="340"/>
    </row>
    <row r="28" spans="4:8" x14ac:dyDescent="0.25">
      <c r="D28" s="350"/>
      <c r="E28" s="20">
        <v>2018</v>
      </c>
      <c r="F28" s="20">
        <v>2019</v>
      </c>
      <c r="G28" s="20">
        <v>2020</v>
      </c>
      <c r="H28" s="20">
        <v>2021</v>
      </c>
    </row>
    <row r="29" spans="4:8" ht="15.75" thickBot="1" x14ac:dyDescent="0.3">
      <c r="D29" s="351"/>
      <c r="E29" s="21" t="s">
        <v>42</v>
      </c>
      <c r="F29" s="21" t="s">
        <v>43</v>
      </c>
      <c r="G29" s="21" t="s">
        <v>43</v>
      </c>
      <c r="H29" s="21" t="s">
        <v>43</v>
      </c>
    </row>
    <row r="30" spans="4:8" ht="15.75" thickBot="1" x14ac:dyDescent="0.3">
      <c r="D30" s="24" t="s">
        <v>85</v>
      </c>
      <c r="E30" s="25">
        <v>103000</v>
      </c>
      <c r="F30" s="25">
        <v>103000</v>
      </c>
      <c r="G30" s="25">
        <v>103000</v>
      </c>
      <c r="H30" s="25">
        <v>103000</v>
      </c>
    </row>
    <row r="31" spans="4:8" ht="15.75" thickBot="1" x14ac:dyDescent="0.3">
      <c r="D31" s="24" t="s">
        <v>86</v>
      </c>
      <c r="E31" s="25">
        <v>21000</v>
      </c>
      <c r="F31" s="25">
        <v>21000</v>
      </c>
      <c r="G31" s="25">
        <v>21000</v>
      </c>
      <c r="H31" s="25">
        <v>21000</v>
      </c>
    </row>
    <row r="32" spans="4:8" ht="15.75" thickBot="1" x14ac:dyDescent="0.3">
      <c r="D32" s="24" t="s">
        <v>87</v>
      </c>
      <c r="E32" s="25">
        <v>40034</v>
      </c>
      <c r="F32" s="25">
        <v>40034</v>
      </c>
      <c r="G32" s="25">
        <v>40034</v>
      </c>
      <c r="H32" s="25">
        <v>40034</v>
      </c>
    </row>
    <row r="33" spans="4:8" ht="15.75" thickBot="1" x14ac:dyDescent="0.3">
      <c r="D33" s="24" t="s">
        <v>88</v>
      </c>
      <c r="E33" s="25"/>
      <c r="F33" s="25"/>
      <c r="G33" s="25"/>
      <c r="H33" s="25"/>
    </row>
    <row r="34" spans="4:8" ht="15.75" thickBot="1" x14ac:dyDescent="0.3">
      <c r="D34" s="24" t="s">
        <v>89</v>
      </c>
      <c r="E34" s="25"/>
      <c r="F34" s="25"/>
      <c r="G34" s="25"/>
      <c r="H34" s="25"/>
    </row>
    <row r="35" spans="4:8" ht="15.75" thickBot="1" x14ac:dyDescent="0.3">
      <c r="D35" s="24" t="s">
        <v>90</v>
      </c>
      <c r="E35" s="25"/>
      <c r="F35" s="25"/>
      <c r="G35" s="25"/>
      <c r="H35" s="25"/>
    </row>
    <row r="36" spans="4:8" ht="15.75" thickBot="1" x14ac:dyDescent="0.3">
      <c r="D36" s="24" t="s">
        <v>91</v>
      </c>
      <c r="E36" s="26"/>
      <c r="F36" s="25"/>
      <c r="G36" s="25"/>
      <c r="H36" s="25"/>
    </row>
    <row r="37" spans="4:8" ht="15.75" thickBot="1" x14ac:dyDescent="0.3">
      <c r="D37" s="27" t="s">
        <v>92</v>
      </c>
      <c r="E37" s="26">
        <f>SUM(E30:E36)</f>
        <v>164034</v>
      </c>
      <c r="F37" s="26">
        <f t="shared" ref="F37:H37" si="0">SUM(F30:F36)</f>
        <v>164034</v>
      </c>
      <c r="G37" s="26">
        <f t="shared" si="0"/>
        <v>164034</v>
      </c>
      <c r="H37" s="26">
        <f t="shared" si="0"/>
        <v>164034</v>
      </c>
    </row>
    <row r="38" spans="4:8" ht="15.75" thickBot="1" x14ac:dyDescent="0.3">
      <c r="D38" s="27"/>
      <c r="E38" s="26"/>
      <c r="F38" s="26"/>
      <c r="G38" s="26"/>
      <c r="H38" s="26"/>
    </row>
    <row r="39" spans="4:8" ht="24.75" thickBot="1" x14ac:dyDescent="0.3">
      <c r="D39" s="51" t="s">
        <v>122</v>
      </c>
      <c r="E39" s="78">
        <f>E22</f>
        <v>164034</v>
      </c>
      <c r="F39" s="78">
        <f t="shared" ref="F39:H39" si="1">F22</f>
        <v>164034</v>
      </c>
      <c r="G39" s="78">
        <f t="shared" si="1"/>
        <v>164034</v>
      </c>
      <c r="H39" s="78">
        <f t="shared" si="1"/>
        <v>164034</v>
      </c>
    </row>
    <row r="40" spans="4:8" ht="24.75" thickBot="1" x14ac:dyDescent="0.3">
      <c r="D40" s="51" t="s">
        <v>123</v>
      </c>
      <c r="E40" s="78">
        <f>E42+E44+E46+E48+E50+E52+E54+E56+E58</f>
        <v>164034</v>
      </c>
      <c r="F40" s="78">
        <f>F42+F44+F46+F48+F50+F52+F54+F56+F58</f>
        <v>164034</v>
      </c>
      <c r="G40" s="78">
        <f>G42+G44+G46+G48+G50+G52+G54+G56+G58</f>
        <v>164034</v>
      </c>
      <c r="H40" s="78">
        <f>H42+H44+H46+H48+H50+H52+H54+H56+H58</f>
        <v>164034</v>
      </c>
    </row>
    <row r="41" spans="4:8" ht="24.75" thickBot="1" x14ac:dyDescent="0.3">
      <c r="D41" s="79" t="s">
        <v>124</v>
      </c>
      <c r="E41" s="80"/>
      <c r="F41" s="81">
        <f>F40/E40-1</f>
        <v>0</v>
      </c>
      <c r="G41" s="81">
        <f>G40/F40-1</f>
        <v>0</v>
      </c>
      <c r="H41" s="81">
        <f>H40/G40-1</f>
        <v>0</v>
      </c>
    </row>
    <row r="42" spans="4:8" ht="15.75" thickBot="1" x14ac:dyDescent="0.3">
      <c r="D42" s="24" t="s">
        <v>85</v>
      </c>
      <c r="E42" s="25">
        <f>E30</f>
        <v>103000</v>
      </c>
      <c r="F42" s="25">
        <f t="shared" ref="F42:H42" si="2">F30</f>
        <v>103000</v>
      </c>
      <c r="G42" s="25">
        <f t="shared" si="2"/>
        <v>103000</v>
      </c>
      <c r="H42" s="25">
        <f t="shared" si="2"/>
        <v>103000</v>
      </c>
    </row>
    <row r="43" spans="4:8" ht="15.75" thickBot="1" x14ac:dyDescent="0.3">
      <c r="D43" s="82" t="s">
        <v>125</v>
      </c>
      <c r="E43" s="26"/>
      <c r="F43" s="83">
        <f>F42/E42-1</f>
        <v>0</v>
      </c>
      <c r="G43" s="83">
        <f>G42/F42-1</f>
        <v>0</v>
      </c>
      <c r="H43" s="83">
        <f>H42/G42-1</f>
        <v>0</v>
      </c>
    </row>
    <row r="44" spans="4:8" ht="15.75" thickBot="1" x14ac:dyDescent="0.3">
      <c r="D44" s="24" t="s">
        <v>86</v>
      </c>
      <c r="E44" s="25">
        <f>E31</f>
        <v>21000</v>
      </c>
      <c r="F44" s="25">
        <f t="shared" ref="F44:H44" si="3">F31</f>
        <v>21000</v>
      </c>
      <c r="G44" s="25">
        <f t="shared" si="3"/>
        <v>21000</v>
      </c>
      <c r="H44" s="25">
        <f t="shared" si="3"/>
        <v>21000</v>
      </c>
    </row>
    <row r="45" spans="4:8" ht="24.75" thickBot="1" x14ac:dyDescent="0.3">
      <c r="D45" s="82" t="s">
        <v>126</v>
      </c>
      <c r="E45" s="26"/>
      <c r="F45" s="83">
        <f>F44/E44-1</f>
        <v>0</v>
      </c>
      <c r="G45" s="83">
        <f>G44/F44-1</f>
        <v>0</v>
      </c>
      <c r="H45" s="83">
        <f>H44/G44-1</f>
        <v>0</v>
      </c>
    </row>
    <row r="46" spans="4:8" ht="15.75" thickBot="1" x14ac:dyDescent="0.3">
      <c r="D46" s="24" t="s">
        <v>87</v>
      </c>
      <c r="E46" s="25">
        <f>E32</f>
        <v>40034</v>
      </c>
      <c r="F46" s="25">
        <f t="shared" ref="F46:H46" si="4">F32</f>
        <v>40034</v>
      </c>
      <c r="G46" s="25">
        <f t="shared" si="4"/>
        <v>40034</v>
      </c>
      <c r="H46" s="25">
        <f t="shared" si="4"/>
        <v>40034</v>
      </c>
    </row>
    <row r="47" spans="4:8" ht="15.75" thickBot="1" x14ac:dyDescent="0.3">
      <c r="D47" s="82" t="s">
        <v>127</v>
      </c>
      <c r="E47" s="26"/>
      <c r="F47" s="83">
        <f>F46/E46-1</f>
        <v>0</v>
      </c>
      <c r="G47" s="83">
        <f>G46/F46-1</f>
        <v>0</v>
      </c>
      <c r="H47" s="83">
        <f>H46/G46-1</f>
        <v>0</v>
      </c>
    </row>
    <row r="48" spans="4:8" ht="15.75" thickBot="1" x14ac:dyDescent="0.3">
      <c r="D48" s="24" t="s">
        <v>88</v>
      </c>
      <c r="E48" s="25">
        <f>E33</f>
        <v>0</v>
      </c>
      <c r="F48" s="25">
        <f t="shared" ref="F48:H48" si="5">F33</f>
        <v>0</v>
      </c>
      <c r="G48" s="25">
        <f t="shared" si="5"/>
        <v>0</v>
      </c>
      <c r="H48" s="25">
        <f t="shared" si="5"/>
        <v>0</v>
      </c>
    </row>
    <row r="49" spans="4:8" ht="15.75" thickBot="1" x14ac:dyDescent="0.3">
      <c r="D49" s="82" t="s">
        <v>231</v>
      </c>
      <c r="E49" s="26"/>
      <c r="F49" s="83" t="e">
        <f>F48/E48-1</f>
        <v>#DIV/0!</v>
      </c>
      <c r="G49" s="83" t="e">
        <f>G48/F48-1</f>
        <v>#DIV/0!</v>
      </c>
      <c r="H49" s="83" t="e">
        <f>H48/G48-1</f>
        <v>#DIV/0!</v>
      </c>
    </row>
    <row r="50" spans="4:8" ht="15.75" thickBot="1" x14ac:dyDescent="0.3">
      <c r="D50" s="24" t="s">
        <v>89</v>
      </c>
      <c r="E50" s="25">
        <f>E34</f>
        <v>0</v>
      </c>
      <c r="F50" s="25">
        <f t="shared" ref="F50:H50" si="6">F34</f>
        <v>0</v>
      </c>
      <c r="G50" s="25">
        <f t="shared" si="6"/>
        <v>0</v>
      </c>
      <c r="H50" s="25">
        <f t="shared" si="6"/>
        <v>0</v>
      </c>
    </row>
    <row r="51" spans="4:8" ht="15.75" thickBot="1" x14ac:dyDescent="0.3">
      <c r="D51" s="82" t="s">
        <v>232</v>
      </c>
      <c r="E51" s="26"/>
      <c r="F51" s="83" t="e">
        <f>F50/E50-1</f>
        <v>#DIV/0!</v>
      </c>
      <c r="G51" s="83" t="e">
        <f>G50/F50-1</f>
        <v>#DIV/0!</v>
      </c>
      <c r="H51" s="83" t="e">
        <f>H50/G50-1</f>
        <v>#DIV/0!</v>
      </c>
    </row>
    <row r="52" spans="4:8" ht="15.75" thickBot="1" x14ac:dyDescent="0.3">
      <c r="D52" s="24" t="s">
        <v>90</v>
      </c>
      <c r="E52" s="25">
        <f>E35</f>
        <v>0</v>
      </c>
      <c r="F52" s="25">
        <f t="shared" ref="F52:H52" si="7">F35</f>
        <v>0</v>
      </c>
      <c r="G52" s="25">
        <f t="shared" si="7"/>
        <v>0</v>
      </c>
      <c r="H52" s="25">
        <f t="shared" si="7"/>
        <v>0</v>
      </c>
    </row>
    <row r="53" spans="4:8" ht="15.75" thickBot="1" x14ac:dyDescent="0.3">
      <c r="D53" s="82" t="s">
        <v>233</v>
      </c>
      <c r="E53" s="26"/>
      <c r="F53" s="83" t="e">
        <f>F52/E52-1</f>
        <v>#DIV/0!</v>
      </c>
      <c r="G53" s="83" t="e">
        <f>G52/F52-1</f>
        <v>#DIV/0!</v>
      </c>
      <c r="H53" s="83" t="e">
        <f>H52/G52-1</f>
        <v>#DIV/0!</v>
      </c>
    </row>
    <row r="54" spans="4:8" ht="15.75" thickBot="1" x14ac:dyDescent="0.3">
      <c r="D54" s="24" t="s">
        <v>91</v>
      </c>
      <c r="E54" s="25">
        <f>E36</f>
        <v>0</v>
      </c>
      <c r="F54" s="25">
        <f t="shared" ref="F54:H54" si="8">F36</f>
        <v>0</v>
      </c>
      <c r="G54" s="25">
        <f t="shared" si="8"/>
        <v>0</v>
      </c>
      <c r="H54" s="25">
        <f t="shared" si="8"/>
        <v>0</v>
      </c>
    </row>
    <row r="55" spans="4:8" ht="24.75" thickBot="1" x14ac:dyDescent="0.3">
      <c r="D55" s="82" t="s">
        <v>234</v>
      </c>
      <c r="E55" s="26"/>
      <c r="F55" s="83" t="e">
        <f>F54/E54-1</f>
        <v>#DIV/0!</v>
      </c>
      <c r="G55" s="83" t="e">
        <f>G54/F54-1</f>
        <v>#DIV/0!</v>
      </c>
      <c r="H55" s="83" t="e">
        <f>H54/G54-1</f>
        <v>#DIV/0!</v>
      </c>
    </row>
    <row r="56" spans="4:8" ht="15.75" thickBot="1" x14ac:dyDescent="0.3">
      <c r="D56" s="24" t="s">
        <v>128</v>
      </c>
      <c r="E56" s="25">
        <v>0</v>
      </c>
      <c r="F56" s="25">
        <v>0</v>
      </c>
      <c r="G56" s="25">
        <v>0</v>
      </c>
      <c r="H56" s="25">
        <v>0</v>
      </c>
    </row>
    <row r="57" spans="4:8" ht="15.75" thickBot="1" x14ac:dyDescent="0.3">
      <c r="D57" s="82" t="s">
        <v>129</v>
      </c>
      <c r="E57" s="26"/>
      <c r="F57" s="83" t="e">
        <f>F56/E56-1</f>
        <v>#DIV/0!</v>
      </c>
      <c r="G57" s="83" t="e">
        <f>G56/F56-1</f>
        <v>#DIV/0!</v>
      </c>
      <c r="H57" s="83" t="e">
        <f>H56/G56-1</f>
        <v>#DIV/0!</v>
      </c>
    </row>
    <row r="58" spans="4:8" ht="15.75" thickBot="1" x14ac:dyDescent="0.3">
      <c r="D58" s="24" t="s">
        <v>235</v>
      </c>
      <c r="E58" s="25">
        <v>0</v>
      </c>
      <c r="F58" s="25">
        <v>0</v>
      </c>
      <c r="G58" s="25">
        <v>0</v>
      </c>
      <c r="H58" s="25">
        <v>0</v>
      </c>
    </row>
    <row r="59" spans="4:8" ht="15.75" thickBot="1" x14ac:dyDescent="0.3">
      <c r="D59" s="82" t="s">
        <v>236</v>
      </c>
      <c r="E59" s="26"/>
      <c r="F59" s="83" t="e">
        <f>F58/E58-1</f>
        <v>#DIV/0!</v>
      </c>
      <c r="G59" s="83" t="e">
        <f>G58/F58-1</f>
        <v>#DIV/0!</v>
      </c>
      <c r="H59" s="83" t="e">
        <f>H58/G58-1</f>
        <v>#DIV/0!</v>
      </c>
    </row>
  </sheetData>
  <mergeCells count="15">
    <mergeCell ref="E18:H18"/>
    <mergeCell ref="D19:D20"/>
    <mergeCell ref="D27:H27"/>
    <mergeCell ref="D28:D29"/>
    <mergeCell ref="E11:H11"/>
    <mergeCell ref="D12:D13"/>
    <mergeCell ref="E15:H15"/>
    <mergeCell ref="E16:H16"/>
    <mergeCell ref="E17:H17"/>
    <mergeCell ref="D8:H10"/>
    <mergeCell ref="D2:H2"/>
    <mergeCell ref="E4:H4"/>
    <mergeCell ref="E5:H5"/>
    <mergeCell ref="E6:H6"/>
    <mergeCell ref="D7:H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98"/>
  <sheetViews>
    <sheetView topLeftCell="A376" zoomScale="140" zoomScaleNormal="140" workbookViewId="0">
      <selection activeCell="I378" sqref="I378"/>
    </sheetView>
  </sheetViews>
  <sheetFormatPr defaultRowHeight="15" x14ac:dyDescent="0.25"/>
  <cols>
    <col min="3" max="3" width="27.28515625" customWidth="1"/>
    <col min="4" max="4" width="15.7109375" customWidth="1"/>
    <col min="5" max="5" width="16.42578125" customWidth="1"/>
    <col min="6" max="6" width="17" customWidth="1"/>
    <col min="7" max="7" width="21.42578125" customWidth="1"/>
    <col min="8" max="8" width="13.7109375" bestFit="1" customWidth="1"/>
  </cols>
  <sheetData>
    <row r="2" spans="3:7" x14ac:dyDescent="0.25">
      <c r="C2" s="376" t="s">
        <v>33</v>
      </c>
      <c r="D2" s="376"/>
      <c r="E2" s="376"/>
      <c r="F2" s="376"/>
      <c r="G2" s="376"/>
    </row>
    <row r="3" spans="3:7" ht="15.75" thickBot="1" x14ac:dyDescent="0.3"/>
    <row r="4" spans="3:7" ht="15.75" thickBot="1" x14ac:dyDescent="0.3">
      <c r="C4" s="9" t="s">
        <v>34</v>
      </c>
      <c r="D4" s="457" t="s">
        <v>554</v>
      </c>
      <c r="E4" s="457"/>
      <c r="F4" s="457"/>
      <c r="G4" s="457"/>
    </row>
    <row r="5" spans="3:7" ht="15.75" thickBot="1" x14ac:dyDescent="0.3">
      <c r="C5" s="9" t="s">
        <v>6</v>
      </c>
      <c r="D5" s="309" t="s">
        <v>30</v>
      </c>
      <c r="E5" s="310"/>
      <c r="F5" s="310"/>
      <c r="G5" s="311"/>
    </row>
    <row r="6" spans="3:7" ht="15.75" thickBot="1" x14ac:dyDescent="0.3">
      <c r="C6" s="9" t="s">
        <v>36</v>
      </c>
      <c r="D6" s="312" t="s">
        <v>37</v>
      </c>
      <c r="E6" s="313"/>
      <c r="F6" s="313"/>
      <c r="G6" s="314"/>
    </row>
    <row r="7" spans="3:7" ht="15.75" thickBot="1" x14ac:dyDescent="0.3">
      <c r="C7" s="315" t="s">
        <v>7</v>
      </c>
      <c r="D7" s="316"/>
      <c r="E7" s="316"/>
      <c r="F7" s="316"/>
      <c r="G7" s="317"/>
    </row>
    <row r="8" spans="3:7" ht="15.75" customHeight="1" thickBot="1" x14ac:dyDescent="0.3">
      <c r="C8" s="576" t="s">
        <v>555</v>
      </c>
      <c r="D8" s="577"/>
      <c r="E8" s="577"/>
      <c r="F8" s="577"/>
      <c r="G8" s="578"/>
    </row>
    <row r="9" spans="3:7" ht="26.25" thickBot="1" x14ac:dyDescent="0.3">
      <c r="C9" s="10" t="s">
        <v>39</v>
      </c>
      <c r="D9" s="564" t="s">
        <v>556</v>
      </c>
      <c r="E9" s="565"/>
      <c r="F9" s="565"/>
      <c r="G9" s="566"/>
    </row>
    <row r="10" spans="3:7" ht="15" customHeight="1" x14ac:dyDescent="0.25">
      <c r="C10" s="350" t="s">
        <v>139</v>
      </c>
      <c r="D10" s="277">
        <v>2018</v>
      </c>
      <c r="E10" s="277">
        <v>2019</v>
      </c>
      <c r="F10" s="277">
        <v>2020</v>
      </c>
      <c r="G10" s="277">
        <v>2021</v>
      </c>
    </row>
    <row r="11" spans="3:7" ht="15.75" thickBot="1" x14ac:dyDescent="0.3">
      <c r="C11" s="351"/>
      <c r="D11" s="278" t="s">
        <v>42</v>
      </c>
      <c r="E11" s="278" t="s">
        <v>43</v>
      </c>
      <c r="F11" s="278" t="s">
        <v>43</v>
      </c>
      <c r="G11" s="278" t="s">
        <v>43</v>
      </c>
    </row>
    <row r="12" spans="3:7" ht="15.75" thickBot="1" x14ac:dyDescent="0.3">
      <c r="C12" s="276" t="s">
        <v>557</v>
      </c>
      <c r="D12" s="14">
        <v>0.42</v>
      </c>
      <c r="E12" s="14">
        <v>0.44</v>
      </c>
      <c r="F12" s="14">
        <v>0.45</v>
      </c>
      <c r="G12" s="14">
        <v>0.46</v>
      </c>
    </row>
    <row r="13" spans="3:7" ht="15.75" thickBot="1" x14ac:dyDescent="0.3">
      <c r="C13" s="19" t="s">
        <v>558</v>
      </c>
      <c r="D13" s="138">
        <v>3300</v>
      </c>
      <c r="E13" s="138">
        <v>3400</v>
      </c>
      <c r="F13" s="138">
        <v>3500</v>
      </c>
      <c r="G13" s="138">
        <v>3600</v>
      </c>
    </row>
    <row r="14" spans="3:7" ht="23.25" thickBot="1" x14ac:dyDescent="0.3">
      <c r="C14" s="19" t="s">
        <v>559</v>
      </c>
      <c r="D14" s="14">
        <v>0.4</v>
      </c>
      <c r="E14" s="14">
        <v>0.6</v>
      </c>
      <c r="F14" s="14">
        <v>0.95</v>
      </c>
      <c r="G14" s="14">
        <v>1</v>
      </c>
    </row>
    <row r="15" spans="3:7" ht="24.75" thickBot="1" x14ac:dyDescent="0.3">
      <c r="C15" s="85" t="s">
        <v>46</v>
      </c>
      <c r="D15" s="567" t="s">
        <v>560</v>
      </c>
      <c r="E15" s="568"/>
      <c r="F15" s="568"/>
      <c r="G15" s="569"/>
    </row>
    <row r="16" spans="3:7" ht="15.75" customHeight="1" thickBot="1" x14ac:dyDescent="0.3">
      <c r="C16" s="335" t="s">
        <v>561</v>
      </c>
      <c r="D16" s="336"/>
      <c r="E16" s="336"/>
      <c r="F16" s="336"/>
      <c r="G16" s="337"/>
    </row>
    <row r="17" spans="3:7" ht="34.5" thickBot="1" x14ac:dyDescent="0.3">
      <c r="C17" s="276" t="s">
        <v>562</v>
      </c>
      <c r="D17" s="13">
        <v>0.19500000000000001</v>
      </c>
      <c r="E17" s="13">
        <v>0.19800000000000001</v>
      </c>
      <c r="F17" s="14">
        <v>0.2</v>
      </c>
      <c r="G17" s="13">
        <v>0.20100000000000001</v>
      </c>
    </row>
    <row r="18" spans="3:7" ht="15.75" thickBot="1" x14ac:dyDescent="0.3">
      <c r="C18" s="19" t="s">
        <v>563</v>
      </c>
      <c r="D18" s="132">
        <v>2921</v>
      </c>
      <c r="E18" s="132">
        <v>3000</v>
      </c>
      <c r="F18" s="132">
        <v>3100</v>
      </c>
      <c r="G18" s="132">
        <v>3200</v>
      </c>
    </row>
    <row r="19" spans="3:7" ht="15.75" thickBot="1" x14ac:dyDescent="0.3">
      <c r="C19" s="19" t="s">
        <v>564</v>
      </c>
      <c r="D19" s="132">
        <v>90</v>
      </c>
      <c r="E19" s="132">
        <v>100</v>
      </c>
      <c r="F19" s="132">
        <v>110</v>
      </c>
      <c r="G19" s="132">
        <v>120</v>
      </c>
    </row>
    <row r="20" spans="3:7" ht="15.75" thickBot="1" x14ac:dyDescent="0.3">
      <c r="C20" s="19" t="s">
        <v>565</v>
      </c>
      <c r="D20" s="14">
        <v>0.4</v>
      </c>
      <c r="E20" s="14">
        <v>0.45</v>
      </c>
      <c r="F20" s="14">
        <v>0.5</v>
      </c>
      <c r="G20" s="14">
        <v>0.55000000000000004</v>
      </c>
    </row>
    <row r="21" spans="3:7" ht="15.75" thickBot="1" x14ac:dyDescent="0.3">
      <c r="C21" s="341" t="s">
        <v>70</v>
      </c>
      <c r="D21" s="342"/>
      <c r="E21" s="342"/>
      <c r="F21" s="342"/>
      <c r="G21" s="343"/>
    </row>
    <row r="22" spans="3:7" ht="15.75" thickBot="1" x14ac:dyDescent="0.3">
      <c r="C22" s="18" t="s">
        <v>71</v>
      </c>
      <c r="D22" s="344" t="s">
        <v>566</v>
      </c>
      <c r="E22" s="345"/>
      <c r="F22" s="345"/>
      <c r="G22" s="346"/>
    </row>
    <row r="23" spans="3:7" ht="15.75" customHeight="1" thickBot="1" x14ac:dyDescent="0.3">
      <c r="C23" s="19" t="s">
        <v>73</v>
      </c>
      <c r="D23" s="335" t="s">
        <v>567</v>
      </c>
      <c r="E23" s="336"/>
      <c r="F23" s="336"/>
      <c r="G23" s="337"/>
    </row>
    <row r="24" spans="3:7" ht="15.75" thickBot="1" x14ac:dyDescent="0.3">
      <c r="C24" s="19" t="s">
        <v>75</v>
      </c>
      <c r="D24" s="347" t="s">
        <v>568</v>
      </c>
      <c r="E24" s="348"/>
      <c r="F24" s="348"/>
      <c r="G24" s="349"/>
    </row>
    <row r="25" spans="3:7" x14ac:dyDescent="0.25">
      <c r="C25" s="350"/>
      <c r="D25" s="20">
        <v>2018</v>
      </c>
      <c r="E25" s="20">
        <v>2019</v>
      </c>
      <c r="F25" s="20">
        <v>2020</v>
      </c>
      <c r="G25" s="20">
        <v>2021</v>
      </c>
    </row>
    <row r="26" spans="3:7" ht="15.75" thickBot="1" x14ac:dyDescent="0.3">
      <c r="C26" s="351"/>
      <c r="D26" s="21" t="s">
        <v>42</v>
      </c>
      <c r="E26" s="21" t="s">
        <v>43</v>
      </c>
      <c r="F26" s="21" t="s">
        <v>43</v>
      </c>
      <c r="G26" s="21" t="s">
        <v>43</v>
      </c>
    </row>
    <row r="27" spans="3:7" ht="15.75" thickBot="1" x14ac:dyDescent="0.3">
      <c r="C27" s="19" t="s">
        <v>77</v>
      </c>
      <c r="D27" s="22">
        <v>19019</v>
      </c>
      <c r="E27" s="22">
        <v>19200</v>
      </c>
      <c r="F27" s="22">
        <v>19300</v>
      </c>
      <c r="G27" s="22">
        <v>19400</v>
      </c>
    </row>
    <row r="28" spans="3:7" ht="15.75" thickBot="1" x14ac:dyDescent="0.3">
      <c r="C28" s="19" t="s">
        <v>78</v>
      </c>
      <c r="D28" s="22">
        <f>1371330000/1000</f>
        <v>1371330</v>
      </c>
      <c r="E28" s="22">
        <f>1597779368/1000</f>
        <v>1597779.368</v>
      </c>
      <c r="F28" s="22">
        <f>1684228534/1000</f>
        <v>1684228.534</v>
      </c>
      <c r="G28" s="22">
        <f>1750531530/1000</f>
        <v>1750531.53</v>
      </c>
    </row>
    <row r="29" spans="3:7" ht="15.75" thickBot="1" x14ac:dyDescent="0.3">
      <c r="C29" s="19" t="s">
        <v>79</v>
      </c>
      <c r="D29" s="22">
        <f>D28/D27</f>
        <v>72.103159997896839</v>
      </c>
      <c r="E29" s="22">
        <f t="shared" ref="E29:G29" si="0">E28/E27</f>
        <v>83.217675416666665</v>
      </c>
      <c r="F29" s="22">
        <f t="shared" si="0"/>
        <v>87.265727150259067</v>
      </c>
      <c r="G29" s="22">
        <f t="shared" si="0"/>
        <v>90.233584020618565</v>
      </c>
    </row>
    <row r="30" spans="3:7" ht="15.75" thickBot="1" x14ac:dyDescent="0.3">
      <c r="C30" s="19" t="s">
        <v>80</v>
      </c>
      <c r="D30" s="275" t="s">
        <v>81</v>
      </c>
      <c r="E30" s="13">
        <f>E27/D27-1</f>
        <v>9.5167989904831884E-3</v>
      </c>
      <c r="F30" s="13">
        <f t="shared" ref="F30:G32" si="1">F27/E27-1</f>
        <v>5.2083333333332593E-3</v>
      </c>
      <c r="G30" s="13">
        <f t="shared" si="1"/>
        <v>5.1813471502590858E-3</v>
      </c>
    </row>
    <row r="31" spans="3:7" ht="15.75" thickBot="1" x14ac:dyDescent="0.3">
      <c r="C31" s="19" t="s">
        <v>82</v>
      </c>
      <c r="D31" s="275" t="s">
        <v>81</v>
      </c>
      <c r="E31" s="13">
        <f>E28/D28-1</f>
        <v>0.16513119963830736</v>
      </c>
      <c r="F31" s="13">
        <f t="shared" si="1"/>
        <v>5.4105821949754995E-2</v>
      </c>
      <c r="G31" s="13">
        <f t="shared" si="1"/>
        <v>3.936698296075769E-2</v>
      </c>
    </row>
    <row r="32" spans="3:7" ht="15.75" thickBot="1" x14ac:dyDescent="0.3">
      <c r="C32" s="19" t="s">
        <v>83</v>
      </c>
      <c r="D32" s="275" t="s">
        <v>81</v>
      </c>
      <c r="E32" s="13">
        <f>E29/D29-1</f>
        <v>0.15414741072505045</v>
      </c>
      <c r="F32" s="13">
        <f t="shared" si="1"/>
        <v>4.8644133753124041E-2</v>
      </c>
      <c r="G32" s="13">
        <f t="shared" si="1"/>
        <v>3.4009421192918943E-2</v>
      </c>
    </row>
    <row r="33" spans="3:7" ht="15.75" customHeight="1" thickBot="1" x14ac:dyDescent="0.3">
      <c r="C33" s="338" t="s">
        <v>84</v>
      </c>
      <c r="D33" s="339"/>
      <c r="E33" s="339"/>
      <c r="F33" s="339"/>
      <c r="G33" s="340"/>
    </row>
    <row r="34" spans="3:7" x14ac:dyDescent="0.25">
      <c r="C34" s="350"/>
      <c r="D34" s="20">
        <v>2018</v>
      </c>
      <c r="E34" s="20">
        <v>2019</v>
      </c>
      <c r="F34" s="20">
        <v>2020</v>
      </c>
      <c r="G34" s="20">
        <v>2021</v>
      </c>
    </row>
    <row r="35" spans="3:7" ht="15.75" thickBot="1" x14ac:dyDescent="0.3">
      <c r="C35" s="351"/>
      <c r="D35" s="21" t="s">
        <v>42</v>
      </c>
      <c r="E35" s="21" t="s">
        <v>43</v>
      </c>
      <c r="F35" s="21" t="s">
        <v>43</v>
      </c>
      <c r="G35" s="21" t="s">
        <v>43</v>
      </c>
    </row>
    <row r="36" spans="3:7" ht="15.75" thickBot="1" x14ac:dyDescent="0.3">
      <c r="C36" s="24" t="s">
        <v>85</v>
      </c>
      <c r="D36" s="25">
        <f>1043732000/1000</f>
        <v>1043732</v>
      </c>
      <c r="E36" s="25">
        <f>1163127992/1000</f>
        <v>1163127.9920000001</v>
      </c>
      <c r="F36" s="25">
        <f>1222284391/1000</f>
        <v>1222284.3910000001</v>
      </c>
      <c r="G36" s="25">
        <f>1283398610.55/1000</f>
        <v>1283398.6105499999</v>
      </c>
    </row>
    <row r="37" spans="3:7" ht="24.75" thickBot="1" x14ac:dyDescent="0.3">
      <c r="C37" s="24" t="s">
        <v>86</v>
      </c>
      <c r="D37" s="25">
        <f>175148000/1000</f>
        <v>175148</v>
      </c>
      <c r="E37" s="25">
        <f>194242376/1000</f>
        <v>194242.37599999999</v>
      </c>
      <c r="F37" s="25">
        <f>204200493/1000</f>
        <v>204200.49299999999</v>
      </c>
      <c r="G37" s="25">
        <f>214152219.54/1000</f>
        <v>214152.21953999999</v>
      </c>
    </row>
    <row r="38" spans="3:7" ht="15.75" thickBot="1" x14ac:dyDescent="0.3">
      <c r="C38" s="24" t="s">
        <v>87</v>
      </c>
      <c r="D38" s="26">
        <f>152450000/1000</f>
        <v>152450</v>
      </c>
      <c r="E38" s="26">
        <f>240409000/1000</f>
        <v>240409</v>
      </c>
      <c r="F38" s="26">
        <f>257743650/1000</f>
        <v>257743.65</v>
      </c>
      <c r="G38" s="26">
        <f>252980699.91/1000</f>
        <v>252980.69991</v>
      </c>
    </row>
    <row r="39" spans="3:7" ht="15.75" thickBot="1" x14ac:dyDescent="0.3">
      <c r="C39" s="24" t="s">
        <v>88</v>
      </c>
      <c r="D39" s="26"/>
      <c r="E39" s="25"/>
      <c r="F39" s="25"/>
      <c r="G39" s="25"/>
    </row>
    <row r="40" spans="3:7" ht="15.75" thickBot="1" x14ac:dyDescent="0.3">
      <c r="C40" s="24" t="s">
        <v>89</v>
      </c>
      <c r="D40" s="26"/>
      <c r="E40" s="25"/>
      <c r="F40" s="25"/>
      <c r="G40" s="25"/>
    </row>
    <row r="41" spans="3:7" ht="15.75" thickBot="1" x14ac:dyDescent="0.3">
      <c r="C41" s="24" t="s">
        <v>90</v>
      </c>
      <c r="D41" s="26"/>
      <c r="E41" s="25"/>
      <c r="F41" s="25"/>
      <c r="G41" s="25"/>
    </row>
    <row r="42" spans="3:7" ht="24.75" thickBot="1" x14ac:dyDescent="0.3">
      <c r="C42" s="24" t="s">
        <v>91</v>
      </c>
      <c r="D42" s="26"/>
      <c r="E42" s="25"/>
      <c r="F42" s="25"/>
      <c r="G42" s="25"/>
    </row>
    <row r="43" spans="3:7" ht="15.75" thickBot="1" x14ac:dyDescent="0.3">
      <c r="C43" s="27" t="s">
        <v>92</v>
      </c>
      <c r="D43" s="26">
        <f>D42+D41+D40+D39+D38+D37+D36</f>
        <v>1371330</v>
      </c>
      <c r="E43" s="26">
        <f>E42+E41+E40+E39+E38+E37+E36</f>
        <v>1597779.368</v>
      </c>
      <c r="F43" s="26">
        <f>SUM(F36:F38)</f>
        <v>1684228.534</v>
      </c>
      <c r="G43" s="26">
        <f>G42+G41+G40+G39+G38+G37+G36</f>
        <v>1750531.5299999998</v>
      </c>
    </row>
    <row r="44" spans="3:7" ht="15.75" thickBot="1" x14ac:dyDescent="0.3">
      <c r="C44" s="28" t="s">
        <v>93</v>
      </c>
      <c r="D44" s="29">
        <f>IF(D43-D28=0,0,"Error")</f>
        <v>0</v>
      </c>
      <c r="E44" s="29">
        <f>IF(E43-E28=0,0,"Error")</f>
        <v>0</v>
      </c>
      <c r="F44" s="29">
        <f>IF(F43-F28=0,0,"Error")</f>
        <v>0</v>
      </c>
      <c r="G44" s="29" t="str">
        <f>IF(G43-G28=0,0,"Error")</f>
        <v>Error</v>
      </c>
    </row>
    <row r="45" spans="3:7" ht="15.75" thickBot="1" x14ac:dyDescent="0.3">
      <c r="C45" s="174" t="s">
        <v>449</v>
      </c>
      <c r="D45" s="415" t="s">
        <v>569</v>
      </c>
      <c r="E45" s="416"/>
      <c r="F45" s="416"/>
      <c r="G45" s="417"/>
    </row>
    <row r="46" spans="3:7" ht="15.75" customHeight="1" thickBot="1" x14ac:dyDescent="0.3">
      <c r="C46" s="19" t="s">
        <v>73</v>
      </c>
      <c r="D46" s="434" t="s">
        <v>570</v>
      </c>
      <c r="E46" s="435"/>
      <c r="F46" s="435"/>
      <c r="G46" s="436"/>
    </row>
    <row r="47" spans="3:7" ht="15.75" thickBot="1" x14ac:dyDescent="0.3">
      <c r="C47" s="19" t="s">
        <v>75</v>
      </c>
      <c r="D47" s="415" t="s">
        <v>571</v>
      </c>
      <c r="E47" s="416"/>
      <c r="F47" s="416"/>
      <c r="G47" s="417"/>
    </row>
    <row r="48" spans="3:7" x14ac:dyDescent="0.25">
      <c r="C48" s="350"/>
      <c r="D48" s="20">
        <v>2018</v>
      </c>
      <c r="E48" s="20">
        <v>2019</v>
      </c>
      <c r="F48" s="20">
        <v>2020</v>
      </c>
      <c r="G48" s="20">
        <v>2021</v>
      </c>
    </row>
    <row r="49" spans="3:7" ht="15.75" thickBot="1" x14ac:dyDescent="0.3">
      <c r="C49" s="351"/>
      <c r="D49" s="21" t="s">
        <v>42</v>
      </c>
      <c r="E49" s="21" t="s">
        <v>43</v>
      </c>
      <c r="F49" s="21" t="s">
        <v>43</v>
      </c>
      <c r="G49" s="21" t="s">
        <v>43</v>
      </c>
    </row>
    <row r="50" spans="3:7" ht="15.75" thickBot="1" x14ac:dyDescent="0.3">
      <c r="C50" s="19" t="s">
        <v>77</v>
      </c>
      <c r="D50" s="22">
        <v>3300</v>
      </c>
      <c r="E50" s="22">
        <v>3400</v>
      </c>
      <c r="F50" s="22">
        <v>3500</v>
      </c>
      <c r="G50" s="22">
        <v>3500</v>
      </c>
    </row>
    <row r="51" spans="3:7" ht="15.75" thickBot="1" x14ac:dyDescent="0.3">
      <c r="C51" s="19" t="s">
        <v>78</v>
      </c>
      <c r="D51" s="22">
        <f>210019095.621/1000</f>
        <v>210019.09562099999</v>
      </c>
      <c r="E51" s="22">
        <f>230019138.8/1000</f>
        <v>230019.13880000002</v>
      </c>
      <c r="F51" s="22">
        <f>240019255.5/1000</f>
        <v>240019.2555</v>
      </c>
      <c r="G51" s="22">
        <f>242019372.2/1000</f>
        <v>242019.37219999998</v>
      </c>
    </row>
    <row r="52" spans="3:7" ht="15.75" thickBot="1" x14ac:dyDescent="0.3">
      <c r="C52" s="19" t="s">
        <v>79</v>
      </c>
      <c r="D52" s="22">
        <f>D51/D50</f>
        <v>63.642150188181816</v>
      </c>
      <c r="E52" s="22">
        <f>E51/E50</f>
        <v>67.65268788235295</v>
      </c>
      <c r="F52" s="22">
        <f>F51/F50</f>
        <v>68.576930142857137</v>
      </c>
      <c r="G52" s="22">
        <f>G51/G50</f>
        <v>69.148392057142857</v>
      </c>
    </row>
    <row r="53" spans="3:7" ht="15.75" thickBot="1" x14ac:dyDescent="0.3">
      <c r="C53" s="19" t="s">
        <v>80</v>
      </c>
      <c r="D53" s="275"/>
      <c r="E53" s="13">
        <f>E50/D50-1</f>
        <v>3.0303030303030276E-2</v>
      </c>
      <c r="F53" s="13">
        <f>F50/E50-1</f>
        <v>2.9411764705882248E-2</v>
      </c>
      <c r="G53" s="13">
        <f>G50/F50-1</f>
        <v>0</v>
      </c>
    </row>
    <row r="54" spans="3:7" ht="15.75" thickBot="1" x14ac:dyDescent="0.3">
      <c r="C54" s="19" t="s">
        <v>82</v>
      </c>
      <c r="D54" s="275"/>
      <c r="E54" s="13">
        <f>E51/D51-1</f>
        <v>9.5229641475516491E-2</v>
      </c>
      <c r="F54" s="13">
        <f t="shared" ref="F54:G55" si="2">F51/E51-1</f>
        <v>4.3475150599076917E-2</v>
      </c>
      <c r="G54" s="13">
        <f t="shared" si="2"/>
        <v>8.3331510042117252E-3</v>
      </c>
    </row>
    <row r="55" spans="3:7" ht="15.75" thickBot="1" x14ac:dyDescent="0.3">
      <c r="C55" s="19" t="s">
        <v>83</v>
      </c>
      <c r="D55" s="275"/>
      <c r="E55" s="13">
        <f>E52/D52-1</f>
        <v>6.301700496153062E-2</v>
      </c>
      <c r="F55" s="13">
        <f t="shared" si="2"/>
        <v>1.3661574867674497E-2</v>
      </c>
      <c r="G55" s="13">
        <f t="shared" si="2"/>
        <v>8.3331510042119472E-3</v>
      </c>
    </row>
    <row r="56" spans="3:7" ht="15.75" thickBot="1" x14ac:dyDescent="0.3">
      <c r="C56" s="279" t="s">
        <v>642</v>
      </c>
      <c r="D56" s="415" t="s">
        <v>572</v>
      </c>
      <c r="E56" s="416"/>
      <c r="F56" s="416"/>
      <c r="G56" s="417"/>
    </row>
    <row r="57" spans="3:7" ht="15.75" customHeight="1" thickBot="1" x14ac:dyDescent="0.3">
      <c r="C57" s="338" t="s">
        <v>452</v>
      </c>
      <c r="D57" s="339"/>
      <c r="E57" s="339"/>
      <c r="F57" s="339"/>
      <c r="G57" s="340"/>
    </row>
    <row r="58" spans="3:7" x14ac:dyDescent="0.25">
      <c r="C58" s="350"/>
      <c r="D58" s="20">
        <v>2018</v>
      </c>
      <c r="E58" s="20">
        <v>2019</v>
      </c>
      <c r="F58" s="20">
        <v>2020</v>
      </c>
      <c r="G58" s="20">
        <v>2021</v>
      </c>
    </row>
    <row r="59" spans="3:7" ht="15.75" thickBot="1" x14ac:dyDescent="0.3">
      <c r="C59" s="351"/>
      <c r="D59" s="21" t="s">
        <v>42</v>
      </c>
      <c r="E59" s="21" t="s">
        <v>43</v>
      </c>
      <c r="F59" s="21" t="s">
        <v>43</v>
      </c>
      <c r="G59" s="21" t="s">
        <v>43</v>
      </c>
    </row>
    <row r="60" spans="3:7" ht="15.75" thickBot="1" x14ac:dyDescent="0.3">
      <c r="C60" s="24" t="s">
        <v>85</v>
      </c>
      <c r="D60" s="25">
        <f>16363/1000</f>
        <v>16.363</v>
      </c>
      <c r="E60" s="25">
        <f>16400/1000</f>
        <v>16.399999999999999</v>
      </c>
      <c r="F60" s="25">
        <f>16500/1000</f>
        <v>16.5</v>
      </c>
      <c r="G60" s="25">
        <f>16600/1000</f>
        <v>16.600000000000001</v>
      </c>
    </row>
    <row r="61" spans="3:7" ht="24.75" thickBot="1" x14ac:dyDescent="0.3">
      <c r="C61" s="24" t="s">
        <v>86</v>
      </c>
      <c r="D61" s="25">
        <f>2732.621/1000</f>
        <v>2.732621</v>
      </c>
      <c r="E61" s="25">
        <f>2738.8/1000</f>
        <v>2.7388000000000003</v>
      </c>
      <c r="F61" s="25">
        <f>2755.5/1000</f>
        <v>2.7555000000000001</v>
      </c>
      <c r="G61" s="25">
        <f>2772.2/1000</f>
        <v>2.7721999999999998</v>
      </c>
    </row>
    <row r="62" spans="3:7" ht="15.75" thickBot="1" x14ac:dyDescent="0.3">
      <c r="C62" s="24" t="s">
        <v>87</v>
      </c>
      <c r="D62" s="26"/>
      <c r="E62" s="25"/>
      <c r="F62" s="25"/>
      <c r="G62" s="25"/>
    </row>
    <row r="63" spans="3:7" ht="15.75" thickBot="1" x14ac:dyDescent="0.3">
      <c r="C63" s="24" t="s">
        <v>88</v>
      </c>
      <c r="D63" s="26"/>
      <c r="E63" s="25"/>
      <c r="F63" s="25"/>
      <c r="G63" s="25"/>
    </row>
    <row r="64" spans="3:7" ht="15.75" thickBot="1" x14ac:dyDescent="0.3">
      <c r="C64" s="24" t="s">
        <v>89</v>
      </c>
      <c r="D64" s="26"/>
      <c r="E64" s="25"/>
      <c r="F64" s="25"/>
      <c r="G64" s="25"/>
    </row>
    <row r="65" spans="3:7" ht="15.75" thickBot="1" x14ac:dyDescent="0.3">
      <c r="C65" s="24" t="s">
        <v>90</v>
      </c>
      <c r="D65" s="26"/>
      <c r="E65" s="25"/>
      <c r="F65" s="25"/>
      <c r="G65" s="25"/>
    </row>
    <row r="66" spans="3:7" ht="24.75" thickBot="1" x14ac:dyDescent="0.3">
      <c r="C66" s="24" t="s">
        <v>91</v>
      </c>
      <c r="D66" s="22">
        <f>210000000/1000</f>
        <v>210000</v>
      </c>
      <c r="E66" s="22">
        <f>230000000/1000</f>
        <v>230000</v>
      </c>
      <c r="F66" s="22">
        <f>240000000/1000</f>
        <v>240000</v>
      </c>
      <c r="G66" s="22">
        <f>242000000/1000</f>
        <v>242000</v>
      </c>
    </row>
    <row r="67" spans="3:7" ht="15.75" thickBot="1" x14ac:dyDescent="0.3">
      <c r="C67" s="175" t="s">
        <v>177</v>
      </c>
      <c r="D67" s="26">
        <f>D66+D65+D64+D63+D62+D61+D60</f>
        <v>210019.09562100001</v>
      </c>
      <c r="E67" s="26">
        <f>E66+E65+E64+E63+E62+E61+E60</f>
        <v>230019.13879999999</v>
      </c>
      <c r="F67" s="26">
        <f>F66+F65+F64+F63+F62+F61+F60</f>
        <v>240019.2555</v>
      </c>
      <c r="G67" s="26">
        <f>G66+G65+G64+G63+G62+G61+G60</f>
        <v>242019.37220000001</v>
      </c>
    </row>
    <row r="68" spans="3:7" ht="15.75" thickBot="1" x14ac:dyDescent="0.3">
      <c r="C68" s="28" t="s">
        <v>93</v>
      </c>
      <c r="D68" s="29">
        <f>IF(D67-D623,0,"Error")</f>
        <v>0</v>
      </c>
      <c r="E68" s="29">
        <f>IF(E67-E623,0,"Error")</f>
        <v>0</v>
      </c>
      <c r="F68" s="29">
        <f>IF(F67-F623,0,"Error")</f>
        <v>0</v>
      </c>
      <c r="G68" s="29">
        <f>IF(G67-G623,0,"Error")</f>
        <v>0</v>
      </c>
    </row>
    <row r="69" spans="3:7" ht="24.75" customHeight="1" thickBot="1" x14ac:dyDescent="0.3">
      <c r="C69" s="280" t="s">
        <v>73</v>
      </c>
      <c r="D69" s="570" t="s">
        <v>573</v>
      </c>
      <c r="E69" s="571"/>
      <c r="F69" s="571"/>
      <c r="G69" s="572"/>
    </row>
    <row r="70" spans="3:7" ht="15.75" thickBot="1" x14ac:dyDescent="0.3">
      <c r="C70" s="280" t="s">
        <v>75</v>
      </c>
      <c r="D70" s="573" t="s">
        <v>574</v>
      </c>
      <c r="E70" s="574"/>
      <c r="F70" s="574"/>
      <c r="G70" s="575"/>
    </row>
    <row r="71" spans="3:7" ht="15.75" thickBot="1" x14ac:dyDescent="0.3">
      <c r="C71" s="19" t="s">
        <v>77</v>
      </c>
      <c r="D71" s="22">
        <v>1300</v>
      </c>
      <c r="E71" s="22">
        <v>1500</v>
      </c>
      <c r="F71" s="22">
        <v>1600</v>
      </c>
      <c r="G71" s="22">
        <v>1700</v>
      </c>
    </row>
    <row r="72" spans="3:7" x14ac:dyDescent="0.25">
      <c r="C72" s="350"/>
      <c r="D72" s="20">
        <v>2018</v>
      </c>
      <c r="E72" s="20">
        <v>2019</v>
      </c>
      <c r="F72" s="20">
        <v>2020</v>
      </c>
      <c r="G72" s="20">
        <v>2021</v>
      </c>
    </row>
    <row r="73" spans="3:7" ht="15.75" thickBot="1" x14ac:dyDescent="0.3">
      <c r="C73" s="351"/>
      <c r="D73" s="21" t="s">
        <v>42</v>
      </c>
      <c r="E73" s="21" t="s">
        <v>43</v>
      </c>
      <c r="F73" s="21" t="s">
        <v>43</v>
      </c>
      <c r="G73" s="21" t="s">
        <v>43</v>
      </c>
    </row>
    <row r="74" spans="3:7" ht="15.75" thickBot="1" x14ac:dyDescent="0.3">
      <c r="C74" s="19" t="s">
        <v>78</v>
      </c>
      <c r="D74" s="22">
        <f>8000000/1000</f>
        <v>8000</v>
      </c>
      <c r="E74" s="22">
        <f>9000000/1000</f>
        <v>9000</v>
      </c>
      <c r="F74" s="22">
        <f>10000000/1000</f>
        <v>10000</v>
      </c>
      <c r="G74" s="22">
        <f>11200000/1000</f>
        <v>11200</v>
      </c>
    </row>
    <row r="75" spans="3:7" ht="15.75" thickBot="1" x14ac:dyDescent="0.3">
      <c r="C75" s="19" t="s">
        <v>79</v>
      </c>
      <c r="D75" s="22">
        <f>D74/D71</f>
        <v>6.1538461538461542</v>
      </c>
      <c r="E75" s="22">
        <f>E74/E71</f>
        <v>6</v>
      </c>
      <c r="F75" s="22">
        <f>F74/F71</f>
        <v>6.25</v>
      </c>
      <c r="G75" s="22">
        <f>G74/G71</f>
        <v>6.5882352941176467</v>
      </c>
    </row>
    <row r="76" spans="3:7" ht="15.75" thickBot="1" x14ac:dyDescent="0.3">
      <c r="C76" s="19" t="s">
        <v>80</v>
      </c>
      <c r="D76" s="275"/>
      <c r="E76" s="13">
        <f>E71/D71-1</f>
        <v>0.15384615384615374</v>
      </c>
      <c r="F76" s="13">
        <f>F71/E71-1</f>
        <v>6.6666666666666652E-2</v>
      </c>
      <c r="G76" s="13">
        <f>G71/F71-1</f>
        <v>6.25E-2</v>
      </c>
    </row>
    <row r="77" spans="3:7" ht="15.75" thickBot="1" x14ac:dyDescent="0.3">
      <c r="C77" s="19" t="s">
        <v>82</v>
      </c>
      <c r="D77" s="275"/>
      <c r="E77" s="13">
        <f>E74/D74-1</f>
        <v>0.125</v>
      </c>
      <c r="F77" s="13">
        <f t="shared" ref="F77:G78" si="3">F74/E74-1</f>
        <v>0.11111111111111116</v>
      </c>
      <c r="G77" s="13">
        <f t="shared" si="3"/>
        <v>0.12000000000000011</v>
      </c>
    </row>
    <row r="78" spans="3:7" ht="15.75" thickBot="1" x14ac:dyDescent="0.3">
      <c r="C78" s="19" t="s">
        <v>83</v>
      </c>
      <c r="D78" s="275"/>
      <c r="E78" s="13">
        <f>E75/D75-1</f>
        <v>-2.5000000000000022E-2</v>
      </c>
      <c r="F78" s="13">
        <f t="shared" si="3"/>
        <v>4.1666666666666741E-2</v>
      </c>
      <c r="G78" s="13">
        <f t="shared" si="3"/>
        <v>5.4117647058823382E-2</v>
      </c>
    </row>
    <row r="79" spans="3:7" ht="15.75" customHeight="1" thickBot="1" x14ac:dyDescent="0.3">
      <c r="C79" s="338" t="s">
        <v>452</v>
      </c>
      <c r="D79" s="339"/>
      <c r="E79" s="339"/>
      <c r="F79" s="339"/>
      <c r="G79" s="340"/>
    </row>
    <row r="80" spans="3:7" x14ac:dyDescent="0.25">
      <c r="C80" s="350"/>
      <c r="D80" s="20">
        <v>2018</v>
      </c>
      <c r="E80" s="20">
        <v>2019</v>
      </c>
      <c r="F80" s="20">
        <v>2020</v>
      </c>
      <c r="G80" s="20">
        <v>2021</v>
      </c>
    </row>
    <row r="81" spans="3:7" ht="15.75" thickBot="1" x14ac:dyDescent="0.3">
      <c r="C81" s="351"/>
      <c r="D81" s="21" t="s">
        <v>42</v>
      </c>
      <c r="E81" s="21" t="s">
        <v>43</v>
      </c>
      <c r="F81" s="21" t="s">
        <v>43</v>
      </c>
      <c r="G81" s="21" t="s">
        <v>43</v>
      </c>
    </row>
    <row r="82" spans="3:7" ht="15.75" thickBot="1" x14ac:dyDescent="0.3">
      <c r="C82" s="24" t="s">
        <v>85</v>
      </c>
      <c r="D82" s="25"/>
      <c r="E82" s="25"/>
      <c r="F82" s="25"/>
      <c r="G82" s="25"/>
    </row>
    <row r="83" spans="3:7" ht="24.75" thickBot="1" x14ac:dyDescent="0.3">
      <c r="C83" s="24" t="s">
        <v>86</v>
      </c>
      <c r="D83" s="25"/>
      <c r="E83" s="25"/>
      <c r="F83" s="25"/>
      <c r="G83" s="25"/>
    </row>
    <row r="84" spans="3:7" ht="15.75" thickBot="1" x14ac:dyDescent="0.3">
      <c r="C84" s="24" t="s">
        <v>87</v>
      </c>
      <c r="D84" s="26"/>
      <c r="E84" s="25"/>
      <c r="F84" s="25"/>
      <c r="G84" s="25"/>
    </row>
    <row r="85" spans="3:7" ht="15.75" thickBot="1" x14ac:dyDescent="0.3">
      <c r="C85" s="24" t="s">
        <v>88</v>
      </c>
      <c r="D85" s="26"/>
      <c r="E85" s="25"/>
      <c r="F85" s="25"/>
      <c r="G85" s="25"/>
    </row>
    <row r="86" spans="3:7" ht="15.75" thickBot="1" x14ac:dyDescent="0.3">
      <c r="C86" s="24" t="s">
        <v>89</v>
      </c>
      <c r="D86" s="26"/>
      <c r="E86" s="25"/>
      <c r="F86" s="25"/>
      <c r="G86" s="25"/>
    </row>
    <row r="87" spans="3:7" ht="15.75" thickBot="1" x14ac:dyDescent="0.3">
      <c r="C87" s="24" t="s">
        <v>90</v>
      </c>
      <c r="D87" s="26"/>
      <c r="E87" s="25"/>
      <c r="F87" s="25"/>
      <c r="G87" s="25"/>
    </row>
    <row r="88" spans="3:7" ht="24.75" thickBot="1" x14ac:dyDescent="0.3">
      <c r="C88" s="24" t="s">
        <v>91</v>
      </c>
      <c r="D88" s="22">
        <f>8000000/1000</f>
        <v>8000</v>
      </c>
      <c r="E88" s="22">
        <f>9000000/1000</f>
        <v>9000</v>
      </c>
      <c r="F88" s="22">
        <f>10000000/1000</f>
        <v>10000</v>
      </c>
      <c r="G88" s="22">
        <f>11200000/1000</f>
        <v>11200</v>
      </c>
    </row>
    <row r="89" spans="3:7" ht="15.75" thickBot="1" x14ac:dyDescent="0.3">
      <c r="C89" s="175" t="s">
        <v>177</v>
      </c>
      <c r="D89" s="26">
        <f>D88+D87+D86+D85+D84+D83+D82</f>
        <v>8000</v>
      </c>
      <c r="E89" s="26">
        <f>E88+E87+E86+E85+E84+E83+E82</f>
        <v>9000</v>
      </c>
      <c r="F89" s="26">
        <f>F88+F87+F86+F85+F84+F83+F82</f>
        <v>10000</v>
      </c>
      <c r="G89" s="26">
        <f>G88+G87+G86+G85+G84+G83+G82</f>
        <v>11200</v>
      </c>
    </row>
    <row r="90" spans="3:7" ht="15.75" thickBot="1" x14ac:dyDescent="0.3">
      <c r="C90" s="28" t="s">
        <v>93</v>
      </c>
      <c r="D90" s="29">
        <f>IF(D89-D645,0,"Error")</f>
        <v>0</v>
      </c>
      <c r="E90" s="29">
        <f>IF(E89-E645,0,"Error")</f>
        <v>0</v>
      </c>
      <c r="F90" s="29">
        <f>IF(F89-F645,0,"Error")</f>
        <v>0</v>
      </c>
      <c r="G90" s="29">
        <f>IF(G89-G645,0,"Error")</f>
        <v>0</v>
      </c>
    </row>
    <row r="91" spans="3:7" ht="15.75" thickBot="1" x14ac:dyDescent="0.3">
      <c r="C91" s="341" t="s">
        <v>105</v>
      </c>
      <c r="D91" s="342"/>
      <c r="E91" s="342"/>
      <c r="F91" s="342"/>
      <c r="G91" s="343"/>
    </row>
    <row r="92" spans="3:7" ht="15.75" thickBot="1" x14ac:dyDescent="0.3">
      <c r="C92" s="341" t="s">
        <v>106</v>
      </c>
      <c r="D92" s="342"/>
      <c r="E92" s="342"/>
      <c r="F92" s="342"/>
      <c r="G92" s="343"/>
    </row>
    <row r="93" spans="3:7" ht="15.75" thickBot="1" x14ac:dyDescent="0.3">
      <c r="C93" s="30" t="s">
        <v>107</v>
      </c>
      <c r="D93" s="352" t="s">
        <v>108</v>
      </c>
      <c r="E93" s="353"/>
      <c r="F93" s="353"/>
      <c r="G93" s="354"/>
    </row>
    <row r="94" spans="3:7" ht="15.75" thickBot="1" x14ac:dyDescent="0.3">
      <c r="C94" s="18" t="s">
        <v>109</v>
      </c>
      <c r="D94" s="347" t="s">
        <v>575</v>
      </c>
      <c r="E94" s="348"/>
      <c r="F94" s="348"/>
      <c r="G94" s="349"/>
    </row>
    <row r="95" spans="3:7" ht="15.75" customHeight="1" thickBot="1" x14ac:dyDescent="0.3">
      <c r="C95" s="19" t="s">
        <v>73</v>
      </c>
      <c r="D95" s="335" t="s">
        <v>576</v>
      </c>
      <c r="E95" s="336"/>
      <c r="F95" s="336"/>
      <c r="G95" s="337"/>
    </row>
    <row r="96" spans="3:7" ht="15.75" thickBot="1" x14ac:dyDescent="0.3">
      <c r="C96" s="19" t="s">
        <v>75</v>
      </c>
      <c r="D96" s="347" t="s">
        <v>577</v>
      </c>
      <c r="E96" s="348"/>
      <c r="F96" s="348"/>
      <c r="G96" s="349"/>
    </row>
    <row r="97" spans="3:7" x14ac:dyDescent="0.25">
      <c r="C97" s="350"/>
      <c r="D97" s="20">
        <v>2018</v>
      </c>
      <c r="E97" s="20">
        <v>2019</v>
      </c>
      <c r="F97" s="20">
        <v>2020</v>
      </c>
      <c r="G97" s="20">
        <v>2021</v>
      </c>
    </row>
    <row r="98" spans="3:7" ht="15.75" thickBot="1" x14ac:dyDescent="0.3">
      <c r="C98" s="351"/>
      <c r="D98" s="21" t="s">
        <v>42</v>
      </c>
      <c r="E98" s="21" t="s">
        <v>43</v>
      </c>
      <c r="F98" s="21" t="s">
        <v>43</v>
      </c>
      <c r="G98" s="21" t="s">
        <v>43</v>
      </c>
    </row>
    <row r="99" spans="3:7" ht="15.75" thickBot="1" x14ac:dyDescent="0.3">
      <c r="C99" s="19" t="s">
        <v>77</v>
      </c>
      <c r="D99" s="22">
        <v>7500</v>
      </c>
      <c r="E99" s="22">
        <v>8000</v>
      </c>
      <c r="F99" s="22">
        <v>8000</v>
      </c>
      <c r="G99" s="22">
        <v>8000</v>
      </c>
    </row>
    <row r="100" spans="3:7" ht="15.75" thickBot="1" x14ac:dyDescent="0.3">
      <c r="C100" s="19" t="s">
        <v>78</v>
      </c>
      <c r="D100" s="22">
        <f>40000000/1000</f>
        <v>40000</v>
      </c>
      <c r="E100" s="22">
        <f>50000000/1000</f>
        <v>50000</v>
      </c>
      <c r="F100" s="22">
        <f>55000000/1000</f>
        <v>55000</v>
      </c>
      <c r="G100" s="22">
        <f>50000000/1000</f>
        <v>50000</v>
      </c>
    </row>
    <row r="101" spans="3:7" ht="15.75" thickBot="1" x14ac:dyDescent="0.3">
      <c r="C101" s="19" t="s">
        <v>79</v>
      </c>
      <c r="D101" s="22">
        <f>D100/D99</f>
        <v>5.333333333333333</v>
      </c>
      <c r="E101" s="22">
        <f t="shared" ref="E101:G101" si="4">E100/E99</f>
        <v>6.25</v>
      </c>
      <c r="F101" s="22">
        <f t="shared" si="4"/>
        <v>6.875</v>
      </c>
      <c r="G101" s="22">
        <f t="shared" si="4"/>
        <v>6.25</v>
      </c>
    </row>
    <row r="102" spans="3:7" ht="15.75" thickBot="1" x14ac:dyDescent="0.3">
      <c r="C102" s="19" t="s">
        <v>80</v>
      </c>
      <c r="D102" s="275" t="s">
        <v>81</v>
      </c>
      <c r="E102" s="13">
        <f>E99/D99-1</f>
        <v>6.6666666666666652E-2</v>
      </c>
      <c r="F102" s="13">
        <f t="shared" ref="F102:G104" si="5">F99/E99-1</f>
        <v>0</v>
      </c>
      <c r="G102" s="13">
        <f t="shared" si="5"/>
        <v>0</v>
      </c>
    </row>
    <row r="103" spans="3:7" ht="15.75" thickBot="1" x14ac:dyDescent="0.3">
      <c r="C103" s="19" t="s">
        <v>82</v>
      </c>
      <c r="D103" s="275" t="s">
        <v>81</v>
      </c>
      <c r="E103" s="13">
        <f>E100/D100-1</f>
        <v>0.25</v>
      </c>
      <c r="F103" s="13">
        <f t="shared" si="5"/>
        <v>0.10000000000000009</v>
      </c>
      <c r="G103" s="13">
        <f t="shared" si="5"/>
        <v>-9.0909090909090939E-2</v>
      </c>
    </row>
    <row r="104" spans="3:7" ht="15.75" thickBot="1" x14ac:dyDescent="0.3">
      <c r="C104" s="19" t="s">
        <v>83</v>
      </c>
      <c r="D104" s="275" t="s">
        <v>81</v>
      </c>
      <c r="E104" s="13">
        <f>E101/D101-1</f>
        <v>0.171875</v>
      </c>
      <c r="F104" s="13">
        <f t="shared" si="5"/>
        <v>0.10000000000000009</v>
      </c>
      <c r="G104" s="13">
        <f t="shared" si="5"/>
        <v>-9.0909090909090939E-2</v>
      </c>
    </row>
    <row r="105" spans="3:7" ht="15.75" customHeight="1" thickBot="1" x14ac:dyDescent="0.3">
      <c r="C105" s="338" t="s">
        <v>84</v>
      </c>
      <c r="D105" s="339"/>
      <c r="E105" s="339"/>
      <c r="F105" s="339"/>
      <c r="G105" s="340"/>
    </row>
    <row r="106" spans="3:7" x14ac:dyDescent="0.25">
      <c r="C106" s="350"/>
      <c r="D106" s="20">
        <v>2018</v>
      </c>
      <c r="E106" s="20">
        <v>2019</v>
      </c>
      <c r="F106" s="20">
        <v>2020</v>
      </c>
      <c r="G106" s="20">
        <v>2021</v>
      </c>
    </row>
    <row r="107" spans="3:7" ht="15.75" thickBot="1" x14ac:dyDescent="0.3">
      <c r="C107" s="351"/>
      <c r="D107" s="21" t="s">
        <v>42</v>
      </c>
      <c r="E107" s="21" t="s">
        <v>43</v>
      </c>
      <c r="F107" s="21" t="s">
        <v>43</v>
      </c>
      <c r="G107" s="21" t="s">
        <v>43</v>
      </c>
    </row>
    <row r="108" spans="3:7" ht="15.75" thickBot="1" x14ac:dyDescent="0.3">
      <c r="C108" s="24" t="s">
        <v>170</v>
      </c>
      <c r="D108" s="25"/>
      <c r="E108" s="25"/>
      <c r="F108" s="25"/>
      <c r="G108" s="25"/>
    </row>
    <row r="109" spans="3:7" ht="15.75" thickBot="1" x14ac:dyDescent="0.3">
      <c r="C109" s="24" t="s">
        <v>113</v>
      </c>
      <c r="D109" s="22">
        <f>40000000/1000</f>
        <v>40000</v>
      </c>
      <c r="E109" s="22">
        <f>50000000/1000</f>
        <v>50000</v>
      </c>
      <c r="F109" s="22">
        <f>55000000/1000</f>
        <v>55000</v>
      </c>
      <c r="G109" s="22">
        <f>50000000/1000</f>
        <v>50000</v>
      </c>
    </row>
    <row r="110" spans="3:7" ht="15.75" thickBot="1" x14ac:dyDescent="0.3">
      <c r="C110" s="27" t="s">
        <v>92</v>
      </c>
      <c r="D110" s="26">
        <f>D109+D108</f>
        <v>40000</v>
      </c>
      <c r="E110" s="26">
        <f t="shared" ref="E110:G110" si="6">E109+E108</f>
        <v>50000</v>
      </c>
      <c r="F110" s="26">
        <f t="shared" si="6"/>
        <v>55000</v>
      </c>
      <c r="G110" s="26">
        <f t="shared" si="6"/>
        <v>50000</v>
      </c>
    </row>
    <row r="111" spans="3:7" ht="15" customHeight="1" x14ac:dyDescent="0.25">
      <c r="C111" s="355" t="s">
        <v>114</v>
      </c>
      <c r="D111" s="579"/>
      <c r="E111" s="580"/>
      <c r="F111" s="580"/>
      <c r="G111" s="581"/>
    </row>
    <row r="112" spans="3:7" x14ac:dyDescent="0.25">
      <c r="C112" s="356"/>
      <c r="D112" s="582"/>
      <c r="E112" s="583"/>
      <c r="F112" s="583"/>
      <c r="G112" s="584"/>
    </row>
    <row r="113" spans="3:7" ht="15.75" thickBot="1" x14ac:dyDescent="0.3">
      <c r="C113" s="357"/>
      <c r="D113" s="585"/>
      <c r="E113" s="586"/>
      <c r="F113" s="586"/>
      <c r="G113" s="587"/>
    </row>
    <row r="114" spans="3:7" ht="15.75" thickBot="1" x14ac:dyDescent="0.3">
      <c r="C114" s="30" t="s">
        <v>260</v>
      </c>
      <c r="D114" s="352" t="s">
        <v>108</v>
      </c>
      <c r="E114" s="353"/>
      <c r="F114" s="353"/>
      <c r="G114" s="354"/>
    </row>
    <row r="115" spans="3:7" ht="23.25" thickBot="1" x14ac:dyDescent="0.3">
      <c r="C115" s="18" t="s">
        <v>376</v>
      </c>
      <c r="D115" s="344" t="s">
        <v>375</v>
      </c>
      <c r="E115" s="345"/>
      <c r="F115" s="345"/>
      <c r="G115" s="346"/>
    </row>
    <row r="116" spans="3:7" ht="15.75" thickBot="1" x14ac:dyDescent="0.3">
      <c r="C116" s="19" t="s">
        <v>73</v>
      </c>
      <c r="D116" s="335" t="s">
        <v>375</v>
      </c>
      <c r="E116" s="336"/>
      <c r="F116" s="336"/>
      <c r="G116" s="337"/>
    </row>
    <row r="117" spans="3:7" ht="15.75" thickBot="1" x14ac:dyDescent="0.3">
      <c r="C117" s="19" t="s">
        <v>75</v>
      </c>
      <c r="D117" s="347" t="s">
        <v>375</v>
      </c>
      <c r="E117" s="348"/>
      <c r="F117" s="348"/>
      <c r="G117" s="349"/>
    </row>
    <row r="118" spans="3:7" x14ac:dyDescent="0.25">
      <c r="C118" s="350"/>
      <c r="D118" s="20">
        <v>2018</v>
      </c>
      <c r="E118" s="20">
        <v>2019</v>
      </c>
      <c r="F118" s="20">
        <v>2020</v>
      </c>
      <c r="G118" s="20">
        <v>2021</v>
      </c>
    </row>
    <row r="119" spans="3:7" ht="15.75" thickBot="1" x14ac:dyDescent="0.3">
      <c r="C119" s="351"/>
      <c r="D119" s="21" t="s">
        <v>42</v>
      </c>
      <c r="E119" s="21" t="s">
        <v>43</v>
      </c>
      <c r="F119" s="21" t="s">
        <v>43</v>
      </c>
      <c r="G119" s="21" t="s">
        <v>43</v>
      </c>
    </row>
    <row r="120" spans="3:7" ht="15.75" thickBot="1" x14ac:dyDescent="0.3">
      <c r="C120" s="19" t="s">
        <v>77</v>
      </c>
      <c r="D120" s="22"/>
      <c r="E120" s="22"/>
      <c r="F120" s="22"/>
      <c r="G120" s="22"/>
    </row>
    <row r="121" spans="3:7" ht="15.75" thickBot="1" x14ac:dyDescent="0.3">
      <c r="C121" s="19" t="s">
        <v>78</v>
      </c>
      <c r="D121" s="22"/>
      <c r="E121" s="22"/>
      <c r="F121" s="22"/>
      <c r="G121" s="22"/>
    </row>
    <row r="122" spans="3:7" ht="15.75" thickBot="1" x14ac:dyDescent="0.3">
      <c r="C122" s="19" t="s">
        <v>79</v>
      </c>
      <c r="D122" s="22" t="e">
        <f>D121/D120</f>
        <v>#DIV/0!</v>
      </c>
      <c r="E122" s="22" t="e">
        <f t="shared" ref="E122:G122" si="7">E121/E120</f>
        <v>#DIV/0!</v>
      </c>
      <c r="F122" s="22" t="e">
        <f t="shared" si="7"/>
        <v>#DIV/0!</v>
      </c>
      <c r="G122" s="22" t="e">
        <f t="shared" si="7"/>
        <v>#DIV/0!</v>
      </c>
    </row>
    <row r="123" spans="3:7" ht="15.75" thickBot="1" x14ac:dyDescent="0.3">
      <c r="C123" s="19" t="s">
        <v>80</v>
      </c>
      <c r="D123" s="275" t="s">
        <v>81</v>
      </c>
      <c r="E123" s="13" t="e">
        <f>E120/D120-1</f>
        <v>#DIV/0!</v>
      </c>
      <c r="F123" s="13" t="e">
        <f t="shared" ref="F123:G125" si="8">F120/E120-1</f>
        <v>#DIV/0!</v>
      </c>
      <c r="G123" s="13" t="e">
        <f t="shared" si="8"/>
        <v>#DIV/0!</v>
      </c>
    </row>
    <row r="124" spans="3:7" ht="15.75" thickBot="1" x14ac:dyDescent="0.3">
      <c r="C124" s="19" t="s">
        <v>82</v>
      </c>
      <c r="D124" s="275" t="s">
        <v>81</v>
      </c>
      <c r="E124" s="13" t="e">
        <f>E121/D121-1</f>
        <v>#DIV/0!</v>
      </c>
      <c r="F124" s="13" t="e">
        <f t="shared" si="8"/>
        <v>#DIV/0!</v>
      </c>
      <c r="G124" s="13" t="e">
        <f t="shared" si="8"/>
        <v>#DIV/0!</v>
      </c>
    </row>
    <row r="125" spans="3:7" ht="15.75" thickBot="1" x14ac:dyDescent="0.3">
      <c r="C125" s="19" t="s">
        <v>83</v>
      </c>
      <c r="D125" s="275" t="s">
        <v>81</v>
      </c>
      <c r="E125" s="13" t="e">
        <f>E122/D122-1</f>
        <v>#DIV/0!</v>
      </c>
      <c r="F125" s="13" t="e">
        <f t="shared" si="8"/>
        <v>#DIV/0!</v>
      </c>
      <c r="G125" s="13" t="e">
        <f t="shared" si="8"/>
        <v>#DIV/0!</v>
      </c>
    </row>
    <row r="126" spans="3:7" ht="15.75" customHeight="1" thickBot="1" x14ac:dyDescent="0.3">
      <c r="C126" s="338" t="s">
        <v>377</v>
      </c>
      <c r="D126" s="339"/>
      <c r="E126" s="339"/>
      <c r="F126" s="339"/>
      <c r="G126" s="340"/>
    </row>
    <row r="127" spans="3:7" x14ac:dyDescent="0.25">
      <c r="C127" s="350"/>
      <c r="D127" s="20">
        <v>2018</v>
      </c>
      <c r="E127" s="20">
        <v>2019</v>
      </c>
      <c r="F127" s="20">
        <v>2020</v>
      </c>
      <c r="G127" s="20">
        <v>2021</v>
      </c>
    </row>
    <row r="128" spans="3:7" ht="15.75" thickBot="1" x14ac:dyDescent="0.3">
      <c r="C128" s="351"/>
      <c r="D128" s="21" t="s">
        <v>42</v>
      </c>
      <c r="E128" s="21" t="s">
        <v>43</v>
      </c>
      <c r="F128" s="21" t="s">
        <v>43</v>
      </c>
      <c r="G128" s="21" t="s">
        <v>43</v>
      </c>
    </row>
    <row r="129" spans="3:7" ht="15.75" thickBot="1" x14ac:dyDescent="0.3">
      <c r="C129" s="24" t="s">
        <v>170</v>
      </c>
      <c r="D129" s="25"/>
      <c r="E129" s="25"/>
      <c r="F129" s="25"/>
      <c r="G129" s="25"/>
    </row>
    <row r="130" spans="3:7" ht="15.75" thickBot="1" x14ac:dyDescent="0.3">
      <c r="C130" s="24" t="s">
        <v>113</v>
      </c>
      <c r="D130" s="26"/>
      <c r="E130" s="25"/>
      <c r="F130" s="25"/>
      <c r="G130" s="25"/>
    </row>
    <row r="131" spans="3:7" ht="15.75" thickBot="1" x14ac:dyDescent="0.3">
      <c r="C131" s="27" t="s">
        <v>177</v>
      </c>
      <c r="D131" s="26">
        <f>D130+D129</f>
        <v>0</v>
      </c>
      <c r="E131" s="26">
        <f t="shared" ref="E131:G131" si="9">E130+E129</f>
        <v>0</v>
      </c>
      <c r="F131" s="26">
        <f t="shared" si="9"/>
        <v>0</v>
      </c>
      <c r="G131" s="26">
        <f t="shared" si="9"/>
        <v>0</v>
      </c>
    </row>
    <row r="132" spans="3:7" ht="15.75" thickBot="1" x14ac:dyDescent="0.3">
      <c r="C132" s="341" t="s">
        <v>105</v>
      </c>
      <c r="D132" s="342"/>
      <c r="E132" s="342"/>
      <c r="F132" s="342"/>
      <c r="G132" s="343"/>
    </row>
    <row r="133" spans="3:7" ht="15.75" thickBot="1" x14ac:dyDescent="0.3">
      <c r="C133" s="341" t="s">
        <v>171</v>
      </c>
      <c r="D133" s="342"/>
      <c r="E133" s="342"/>
      <c r="F133" s="342"/>
      <c r="G133" s="343"/>
    </row>
    <row r="134" spans="3:7" ht="15.75" thickBot="1" x14ac:dyDescent="0.3">
      <c r="C134" s="30" t="s">
        <v>260</v>
      </c>
      <c r="D134" s="352" t="s">
        <v>108</v>
      </c>
      <c r="E134" s="353"/>
      <c r="F134" s="353"/>
      <c r="G134" s="354"/>
    </row>
    <row r="135" spans="3:7" ht="15.75" thickBot="1" x14ac:dyDescent="0.3">
      <c r="C135" s="18" t="s">
        <v>109</v>
      </c>
      <c r="D135" s="344" t="s">
        <v>375</v>
      </c>
      <c r="E135" s="345"/>
      <c r="F135" s="345"/>
      <c r="G135" s="346"/>
    </row>
    <row r="136" spans="3:7" ht="15.75" thickBot="1" x14ac:dyDescent="0.3">
      <c r="C136" s="19" t="s">
        <v>73</v>
      </c>
      <c r="D136" s="335" t="s">
        <v>375</v>
      </c>
      <c r="E136" s="336"/>
      <c r="F136" s="336"/>
      <c r="G136" s="337"/>
    </row>
    <row r="137" spans="3:7" ht="15.75" thickBot="1" x14ac:dyDescent="0.3">
      <c r="C137" s="19" t="s">
        <v>75</v>
      </c>
      <c r="D137" s="347" t="s">
        <v>375</v>
      </c>
      <c r="E137" s="348"/>
      <c r="F137" s="348"/>
      <c r="G137" s="349"/>
    </row>
    <row r="138" spans="3:7" x14ac:dyDescent="0.25">
      <c r="C138" s="350"/>
      <c r="D138" s="20">
        <v>2018</v>
      </c>
      <c r="E138" s="20">
        <v>2019</v>
      </c>
      <c r="F138" s="20">
        <v>2020</v>
      </c>
      <c r="G138" s="20">
        <v>2021</v>
      </c>
    </row>
    <row r="139" spans="3:7" ht="15.75" thickBot="1" x14ac:dyDescent="0.3">
      <c r="C139" s="351"/>
      <c r="D139" s="21" t="s">
        <v>42</v>
      </c>
      <c r="E139" s="21" t="s">
        <v>43</v>
      </c>
      <c r="F139" s="21" t="s">
        <v>43</v>
      </c>
      <c r="G139" s="21" t="s">
        <v>43</v>
      </c>
    </row>
    <row r="140" spans="3:7" ht="15.75" thickBot="1" x14ac:dyDescent="0.3">
      <c r="C140" s="19" t="s">
        <v>77</v>
      </c>
      <c r="D140" s="22"/>
      <c r="E140" s="22"/>
      <c r="F140" s="22"/>
      <c r="G140" s="22"/>
    </row>
    <row r="141" spans="3:7" ht="15.75" thickBot="1" x14ac:dyDescent="0.3">
      <c r="C141" s="19" t="s">
        <v>78</v>
      </c>
      <c r="D141" s="22"/>
      <c r="E141" s="22"/>
      <c r="F141" s="22"/>
      <c r="G141" s="22"/>
    </row>
    <row r="142" spans="3:7" ht="15.75" thickBot="1" x14ac:dyDescent="0.3">
      <c r="C142" s="19" t="s">
        <v>79</v>
      </c>
      <c r="D142" s="22" t="e">
        <f>D141/D140</f>
        <v>#DIV/0!</v>
      </c>
      <c r="E142" s="22" t="e">
        <f t="shared" ref="E142:G142" si="10">E141/E140</f>
        <v>#DIV/0!</v>
      </c>
      <c r="F142" s="22" t="e">
        <f t="shared" si="10"/>
        <v>#DIV/0!</v>
      </c>
      <c r="G142" s="22" t="e">
        <f t="shared" si="10"/>
        <v>#DIV/0!</v>
      </c>
    </row>
    <row r="143" spans="3:7" ht="15.75" thickBot="1" x14ac:dyDescent="0.3">
      <c r="C143" s="19" t="s">
        <v>80</v>
      </c>
      <c r="D143" s="275" t="s">
        <v>81</v>
      </c>
      <c r="E143" s="13" t="e">
        <f>E140/D140-1</f>
        <v>#DIV/0!</v>
      </c>
      <c r="F143" s="13" t="e">
        <f t="shared" ref="F143:G145" si="11">F140/E140-1</f>
        <v>#DIV/0!</v>
      </c>
      <c r="G143" s="13" t="e">
        <f t="shared" si="11"/>
        <v>#DIV/0!</v>
      </c>
    </row>
    <row r="144" spans="3:7" ht="15.75" thickBot="1" x14ac:dyDescent="0.3">
      <c r="C144" s="19" t="s">
        <v>82</v>
      </c>
      <c r="D144" s="275" t="s">
        <v>81</v>
      </c>
      <c r="E144" s="13" t="e">
        <f>E141/D141-1</f>
        <v>#DIV/0!</v>
      </c>
      <c r="F144" s="13" t="e">
        <f t="shared" si="11"/>
        <v>#DIV/0!</v>
      </c>
      <c r="G144" s="13" t="e">
        <f t="shared" si="11"/>
        <v>#DIV/0!</v>
      </c>
    </row>
    <row r="145" spans="3:7" ht="15.75" thickBot="1" x14ac:dyDescent="0.3">
      <c r="C145" s="19" t="s">
        <v>83</v>
      </c>
      <c r="D145" s="275" t="s">
        <v>81</v>
      </c>
      <c r="E145" s="13" t="e">
        <f>E142/D142-1</f>
        <v>#DIV/0!</v>
      </c>
      <c r="F145" s="13" t="e">
        <f t="shared" si="11"/>
        <v>#DIV/0!</v>
      </c>
      <c r="G145" s="13" t="e">
        <f t="shared" si="11"/>
        <v>#DIV/0!</v>
      </c>
    </row>
    <row r="146" spans="3:7" ht="15.75" customHeight="1" thickBot="1" x14ac:dyDescent="0.3">
      <c r="C146" s="338" t="s">
        <v>84</v>
      </c>
      <c r="D146" s="339"/>
      <c r="E146" s="339"/>
      <c r="F146" s="339"/>
      <c r="G146" s="340"/>
    </row>
    <row r="147" spans="3:7" x14ac:dyDescent="0.25">
      <c r="C147" s="350"/>
      <c r="D147" s="20">
        <v>2018</v>
      </c>
      <c r="E147" s="20">
        <v>2019</v>
      </c>
      <c r="F147" s="20">
        <v>2020</v>
      </c>
      <c r="G147" s="20">
        <v>2021</v>
      </c>
    </row>
    <row r="148" spans="3:7" ht="15.75" thickBot="1" x14ac:dyDescent="0.3">
      <c r="C148" s="351"/>
      <c r="D148" s="21" t="s">
        <v>42</v>
      </c>
      <c r="E148" s="21" t="s">
        <v>43</v>
      </c>
      <c r="F148" s="21" t="s">
        <v>43</v>
      </c>
      <c r="G148" s="21" t="s">
        <v>43</v>
      </c>
    </row>
    <row r="149" spans="3:7" ht="15.75" thickBot="1" x14ac:dyDescent="0.3">
      <c r="C149" s="24" t="s">
        <v>170</v>
      </c>
      <c r="D149" s="25"/>
      <c r="E149" s="25"/>
      <c r="F149" s="25"/>
      <c r="G149" s="25"/>
    </row>
    <row r="150" spans="3:7" ht="15.75" thickBot="1" x14ac:dyDescent="0.3">
      <c r="C150" s="24" t="s">
        <v>113</v>
      </c>
      <c r="D150" s="26"/>
      <c r="E150" s="25"/>
      <c r="F150" s="25"/>
      <c r="G150" s="25"/>
    </row>
    <row r="151" spans="3:7" ht="15.75" thickBot="1" x14ac:dyDescent="0.3">
      <c r="C151" s="27" t="s">
        <v>92</v>
      </c>
      <c r="D151" s="26">
        <f>D150+D149</f>
        <v>0</v>
      </c>
      <c r="E151" s="26">
        <f t="shared" ref="E151:G151" si="12">E150+E149</f>
        <v>0</v>
      </c>
      <c r="F151" s="26">
        <f t="shared" si="12"/>
        <v>0</v>
      </c>
      <c r="G151" s="26">
        <f t="shared" si="12"/>
        <v>0</v>
      </c>
    </row>
    <row r="152" spans="3:7" ht="15.75" thickBot="1" x14ac:dyDescent="0.3">
      <c r="C152" s="176" t="s">
        <v>260</v>
      </c>
      <c r="D152" s="352" t="s">
        <v>108</v>
      </c>
      <c r="E152" s="353"/>
      <c r="F152" s="353"/>
      <c r="G152" s="354"/>
    </row>
    <row r="153" spans="3:7" ht="23.25" thickBot="1" x14ac:dyDescent="0.3">
      <c r="C153" s="18" t="s">
        <v>376</v>
      </c>
      <c r="D153" s="344" t="s">
        <v>375</v>
      </c>
      <c r="E153" s="345"/>
      <c r="F153" s="345"/>
      <c r="G153" s="346"/>
    </row>
    <row r="154" spans="3:7" ht="15.75" thickBot="1" x14ac:dyDescent="0.3">
      <c r="C154" s="19" t="s">
        <v>73</v>
      </c>
      <c r="D154" s="335" t="s">
        <v>375</v>
      </c>
      <c r="E154" s="336"/>
      <c r="F154" s="336"/>
      <c r="G154" s="337"/>
    </row>
    <row r="155" spans="3:7" ht="15.75" thickBot="1" x14ac:dyDescent="0.3">
      <c r="C155" s="19" t="s">
        <v>75</v>
      </c>
      <c r="D155" s="347" t="s">
        <v>375</v>
      </c>
      <c r="E155" s="348"/>
      <c r="F155" s="348"/>
      <c r="G155" s="349"/>
    </row>
    <row r="156" spans="3:7" x14ac:dyDescent="0.25">
      <c r="C156" s="350"/>
      <c r="D156" s="20">
        <v>2018</v>
      </c>
      <c r="E156" s="20">
        <v>2019</v>
      </c>
      <c r="F156" s="20">
        <v>2020</v>
      </c>
      <c r="G156" s="20">
        <v>2021</v>
      </c>
    </row>
    <row r="157" spans="3:7" ht="15.75" thickBot="1" x14ac:dyDescent="0.3">
      <c r="C157" s="351"/>
      <c r="D157" s="21" t="s">
        <v>42</v>
      </c>
      <c r="E157" s="21" t="s">
        <v>43</v>
      </c>
      <c r="F157" s="21" t="s">
        <v>43</v>
      </c>
      <c r="G157" s="21" t="s">
        <v>43</v>
      </c>
    </row>
    <row r="158" spans="3:7" ht="15.75" thickBot="1" x14ac:dyDescent="0.3">
      <c r="C158" s="19" t="s">
        <v>77</v>
      </c>
      <c r="D158" s="22"/>
      <c r="E158" s="22"/>
      <c r="F158" s="22"/>
      <c r="G158" s="22"/>
    </row>
    <row r="159" spans="3:7" ht="15.75" thickBot="1" x14ac:dyDescent="0.3">
      <c r="C159" s="19" t="s">
        <v>78</v>
      </c>
      <c r="D159" s="22"/>
      <c r="E159" s="22"/>
      <c r="F159" s="22"/>
      <c r="G159" s="22"/>
    </row>
    <row r="160" spans="3:7" ht="15.75" thickBot="1" x14ac:dyDescent="0.3">
      <c r="C160" s="19" t="s">
        <v>79</v>
      </c>
      <c r="D160" s="22" t="e">
        <f>D159/D158</f>
        <v>#DIV/0!</v>
      </c>
      <c r="E160" s="22" t="e">
        <f t="shared" ref="E160:G160" si="13">E159/E158</f>
        <v>#DIV/0!</v>
      </c>
      <c r="F160" s="22" t="e">
        <f t="shared" si="13"/>
        <v>#DIV/0!</v>
      </c>
      <c r="G160" s="22" t="e">
        <f t="shared" si="13"/>
        <v>#DIV/0!</v>
      </c>
    </row>
    <row r="161" spans="3:7" ht="15.75" thickBot="1" x14ac:dyDescent="0.3">
      <c r="C161" s="19" t="s">
        <v>80</v>
      </c>
      <c r="D161" s="275" t="s">
        <v>81</v>
      </c>
      <c r="E161" s="13" t="e">
        <f>E158/D158-1</f>
        <v>#DIV/0!</v>
      </c>
      <c r="F161" s="13" t="e">
        <f t="shared" ref="F161:G163" si="14">F158/E158-1</f>
        <v>#DIV/0!</v>
      </c>
      <c r="G161" s="13" t="e">
        <f t="shared" si="14"/>
        <v>#DIV/0!</v>
      </c>
    </row>
    <row r="162" spans="3:7" ht="15.75" thickBot="1" x14ac:dyDescent="0.3">
      <c r="C162" s="19" t="s">
        <v>82</v>
      </c>
      <c r="D162" s="275" t="s">
        <v>81</v>
      </c>
      <c r="E162" s="13" t="e">
        <f>E159/D159-1</f>
        <v>#DIV/0!</v>
      </c>
      <c r="F162" s="13" t="e">
        <f t="shared" si="14"/>
        <v>#DIV/0!</v>
      </c>
      <c r="G162" s="13" t="e">
        <f t="shared" si="14"/>
        <v>#DIV/0!</v>
      </c>
    </row>
    <row r="163" spans="3:7" ht="15.75" thickBot="1" x14ac:dyDescent="0.3">
      <c r="C163" s="19" t="s">
        <v>83</v>
      </c>
      <c r="D163" s="275" t="s">
        <v>81</v>
      </c>
      <c r="E163" s="13" t="e">
        <f>E160/D160-1</f>
        <v>#DIV/0!</v>
      </c>
      <c r="F163" s="13" t="e">
        <f t="shared" si="14"/>
        <v>#DIV/0!</v>
      </c>
      <c r="G163" s="13" t="e">
        <f t="shared" si="14"/>
        <v>#DIV/0!</v>
      </c>
    </row>
    <row r="164" spans="3:7" ht="15.75" customHeight="1" thickBot="1" x14ac:dyDescent="0.3">
      <c r="C164" s="338" t="s">
        <v>377</v>
      </c>
      <c r="D164" s="339"/>
      <c r="E164" s="339"/>
      <c r="F164" s="339"/>
      <c r="G164" s="340"/>
    </row>
    <row r="165" spans="3:7" x14ac:dyDescent="0.25">
      <c r="C165" s="350"/>
      <c r="D165" s="20">
        <v>2018</v>
      </c>
      <c r="E165" s="20">
        <v>2019</v>
      </c>
      <c r="F165" s="20">
        <v>2020</v>
      </c>
      <c r="G165" s="20">
        <v>2021</v>
      </c>
    </row>
    <row r="166" spans="3:7" ht="15.75" thickBot="1" x14ac:dyDescent="0.3">
      <c r="C166" s="351"/>
      <c r="D166" s="21" t="s">
        <v>42</v>
      </c>
      <c r="E166" s="21" t="s">
        <v>43</v>
      </c>
      <c r="F166" s="21" t="s">
        <v>43</v>
      </c>
      <c r="G166" s="21" t="s">
        <v>43</v>
      </c>
    </row>
    <row r="167" spans="3:7" ht="15.75" thickBot="1" x14ac:dyDescent="0.3">
      <c r="C167" s="24" t="s">
        <v>170</v>
      </c>
      <c r="D167" s="25"/>
      <c r="E167" s="25"/>
      <c r="F167" s="25"/>
      <c r="G167" s="25"/>
    </row>
    <row r="168" spans="3:7" ht="15.75" thickBot="1" x14ac:dyDescent="0.3">
      <c r="C168" s="24" t="s">
        <v>113</v>
      </c>
      <c r="D168" s="26"/>
      <c r="E168" s="25"/>
      <c r="F168" s="25"/>
      <c r="G168" s="25"/>
    </row>
    <row r="169" spans="3:7" ht="15.75" thickBot="1" x14ac:dyDescent="0.3">
      <c r="C169" s="27" t="s">
        <v>177</v>
      </c>
      <c r="D169" s="26">
        <f>D168+D167</f>
        <v>0</v>
      </c>
      <c r="E169" s="26">
        <f t="shared" ref="E169:G169" si="15">E168+E167</f>
        <v>0</v>
      </c>
      <c r="F169" s="26">
        <f t="shared" si="15"/>
        <v>0</v>
      </c>
      <c r="G169" s="26">
        <f t="shared" si="15"/>
        <v>0</v>
      </c>
    </row>
    <row r="170" spans="3:7" ht="24.75" thickBot="1" x14ac:dyDescent="0.3">
      <c r="C170" s="96" t="s">
        <v>182</v>
      </c>
      <c r="D170" s="473" t="s">
        <v>578</v>
      </c>
      <c r="E170" s="474"/>
      <c r="F170" s="474"/>
      <c r="G170" s="475"/>
    </row>
    <row r="171" spans="3:7" ht="15.75" customHeight="1" thickBot="1" x14ac:dyDescent="0.3">
      <c r="C171" s="335" t="s">
        <v>184</v>
      </c>
      <c r="D171" s="336"/>
      <c r="E171" s="336"/>
      <c r="F171" s="336"/>
      <c r="G171" s="337"/>
    </row>
    <row r="172" spans="3:7" ht="34.5" thickBot="1" x14ac:dyDescent="0.3">
      <c r="C172" s="276" t="s">
        <v>579</v>
      </c>
      <c r="D172" s="132">
        <v>10</v>
      </c>
      <c r="E172" s="132">
        <v>11</v>
      </c>
      <c r="F172" s="132">
        <v>12</v>
      </c>
      <c r="G172" s="132">
        <v>14</v>
      </c>
    </row>
    <row r="173" spans="3:7" ht="15.75" thickBot="1" x14ac:dyDescent="0.3">
      <c r="C173" s="19" t="s">
        <v>580</v>
      </c>
      <c r="D173" s="14">
        <v>0.7</v>
      </c>
      <c r="E173" s="14">
        <v>0.9</v>
      </c>
      <c r="F173" s="14">
        <v>1</v>
      </c>
      <c r="G173" s="14">
        <v>0.1</v>
      </c>
    </row>
    <row r="174" spans="3:7" ht="23.25" thickBot="1" x14ac:dyDescent="0.3">
      <c r="C174" s="19" t="s">
        <v>581</v>
      </c>
      <c r="D174" s="14">
        <v>0.3</v>
      </c>
      <c r="E174" s="14">
        <v>0.4</v>
      </c>
      <c r="F174" s="14">
        <v>0.45</v>
      </c>
      <c r="G174" s="14">
        <v>0.5</v>
      </c>
    </row>
    <row r="175" spans="3:7" ht="15.75" thickBot="1" x14ac:dyDescent="0.3">
      <c r="C175" s="19" t="s">
        <v>582</v>
      </c>
      <c r="D175" s="281">
        <v>0.3</v>
      </c>
      <c r="E175" s="281">
        <v>0.5</v>
      </c>
      <c r="F175" s="281">
        <v>0.75</v>
      </c>
      <c r="G175" s="281">
        <v>1</v>
      </c>
    </row>
    <row r="176" spans="3:7" ht="15.75" thickBot="1" x14ac:dyDescent="0.3">
      <c r="C176" s="19" t="s">
        <v>583</v>
      </c>
      <c r="D176" s="223">
        <v>0.1</v>
      </c>
      <c r="E176" s="282">
        <v>0.2</v>
      </c>
      <c r="F176" s="223">
        <v>0.3</v>
      </c>
      <c r="G176" s="223">
        <v>0.4</v>
      </c>
    </row>
    <row r="177" spans="3:7" ht="15.75" thickBot="1" x14ac:dyDescent="0.3">
      <c r="C177" s="392" t="s">
        <v>197</v>
      </c>
      <c r="D177" s="393"/>
      <c r="E177" s="393"/>
      <c r="F177" s="393"/>
      <c r="G177" s="394"/>
    </row>
    <row r="178" spans="3:7" ht="15.75" thickBot="1" x14ac:dyDescent="0.3">
      <c r="C178" s="367" t="s">
        <v>115</v>
      </c>
      <c r="D178" s="368"/>
      <c r="E178" s="368"/>
      <c r="F178" s="368"/>
      <c r="G178" s="369"/>
    </row>
    <row r="179" spans="3:7" x14ac:dyDescent="0.25">
      <c r="C179" s="350"/>
      <c r="D179" s="20">
        <v>2018</v>
      </c>
      <c r="E179" s="20">
        <v>2019</v>
      </c>
      <c r="F179" s="20">
        <v>2020</v>
      </c>
      <c r="G179" s="20">
        <v>2021</v>
      </c>
    </row>
    <row r="180" spans="3:7" ht="15.75" thickBot="1" x14ac:dyDescent="0.3">
      <c r="C180" s="351"/>
      <c r="D180" s="21" t="s">
        <v>42</v>
      </c>
      <c r="E180" s="21" t="s">
        <v>43</v>
      </c>
      <c r="F180" s="21" t="s">
        <v>43</v>
      </c>
      <c r="G180" s="21" t="s">
        <v>43</v>
      </c>
    </row>
    <row r="181" spans="3:7" ht="15.75" thickBot="1" x14ac:dyDescent="0.3">
      <c r="C181" s="18" t="s">
        <v>109</v>
      </c>
      <c r="D181" s="588" t="s">
        <v>584</v>
      </c>
      <c r="E181" s="589"/>
      <c r="F181" s="589"/>
      <c r="G181" s="590"/>
    </row>
    <row r="182" spans="3:7" ht="15.75" customHeight="1" thickBot="1" x14ac:dyDescent="0.3">
      <c r="C182" s="19" t="s">
        <v>73</v>
      </c>
      <c r="D182" s="591" t="s">
        <v>585</v>
      </c>
      <c r="E182" s="592"/>
      <c r="F182" s="592"/>
      <c r="G182" s="593"/>
    </row>
    <row r="183" spans="3:7" ht="15.75" thickBot="1" x14ac:dyDescent="0.3">
      <c r="C183" s="19" t="s">
        <v>75</v>
      </c>
      <c r="D183" s="415" t="s">
        <v>568</v>
      </c>
      <c r="E183" s="416"/>
      <c r="F183" s="416"/>
      <c r="G183" s="417"/>
    </row>
    <row r="184" spans="3:7" x14ac:dyDescent="0.25">
      <c r="C184" s="350"/>
      <c r="D184" s="20">
        <v>2018</v>
      </c>
      <c r="E184" s="20">
        <v>2019</v>
      </c>
      <c r="F184" s="20">
        <v>2020</v>
      </c>
      <c r="G184" s="20">
        <v>2021</v>
      </c>
    </row>
    <row r="185" spans="3:7" ht="15.75" thickBot="1" x14ac:dyDescent="0.3">
      <c r="C185" s="351"/>
      <c r="D185" s="21" t="s">
        <v>42</v>
      </c>
      <c r="E185" s="21" t="s">
        <v>43</v>
      </c>
      <c r="F185" s="21" t="s">
        <v>43</v>
      </c>
      <c r="G185" s="21" t="s">
        <v>43</v>
      </c>
    </row>
    <row r="186" spans="3:7" ht="15.75" thickBot="1" x14ac:dyDescent="0.3">
      <c r="C186" s="19" t="s">
        <v>77</v>
      </c>
      <c r="D186" s="22">
        <v>30</v>
      </c>
      <c r="E186" s="142">
        <v>32</v>
      </c>
      <c r="F186" s="142">
        <v>34</v>
      </c>
      <c r="G186" s="142">
        <v>36</v>
      </c>
    </row>
    <row r="187" spans="3:7" ht="15.75" thickBot="1" x14ac:dyDescent="0.3">
      <c r="C187" s="19" t="s">
        <v>78</v>
      </c>
      <c r="D187" s="22">
        <f>19348358.2/1000</f>
        <v>19348.358199999999</v>
      </c>
      <c r="E187" s="22">
        <f>24644935/1000</f>
        <v>24644.935000000001</v>
      </c>
      <c r="F187" s="22">
        <f>25487182/1000</f>
        <v>25487.182000000001</v>
      </c>
      <c r="G187" s="22">
        <f>26561541/1000</f>
        <v>26561.541000000001</v>
      </c>
    </row>
    <row r="188" spans="3:7" ht="15.75" thickBot="1" x14ac:dyDescent="0.3">
      <c r="C188" s="19" t="s">
        <v>79</v>
      </c>
      <c r="D188" s="22">
        <f>D187/D186</f>
        <v>644.94527333333326</v>
      </c>
      <c r="E188" s="22">
        <f t="shared" ref="E188:G188" si="16">E187/E186</f>
        <v>770.15421875000004</v>
      </c>
      <c r="F188" s="22">
        <f t="shared" si="16"/>
        <v>749.62300000000005</v>
      </c>
      <c r="G188" s="22">
        <f t="shared" si="16"/>
        <v>737.82058333333339</v>
      </c>
    </row>
    <row r="189" spans="3:7" ht="15.75" thickBot="1" x14ac:dyDescent="0.3">
      <c r="C189" s="19" t="s">
        <v>80</v>
      </c>
      <c r="D189" s="275"/>
      <c r="E189" s="13">
        <f>E186/D186-1</f>
        <v>6.6666666666666652E-2</v>
      </c>
      <c r="F189" s="13">
        <f t="shared" ref="F189:G191" si="17">F186/E186-1</f>
        <v>6.25E-2</v>
      </c>
      <c r="G189" s="13">
        <f t="shared" si="17"/>
        <v>5.8823529411764719E-2</v>
      </c>
    </row>
    <row r="190" spans="3:7" ht="15.75" thickBot="1" x14ac:dyDescent="0.3">
      <c r="C190" s="19" t="s">
        <v>82</v>
      </c>
      <c r="D190" s="275"/>
      <c r="E190" s="13">
        <f>E187/D187-1</f>
        <v>0.27374812608131283</v>
      </c>
      <c r="F190" s="13">
        <f t="shared" si="17"/>
        <v>3.4175257512344848E-2</v>
      </c>
      <c r="G190" s="13">
        <f t="shared" si="17"/>
        <v>4.2152914355145343E-2</v>
      </c>
    </row>
    <row r="191" spans="3:7" ht="15.75" thickBot="1" x14ac:dyDescent="0.3">
      <c r="C191" s="19" t="s">
        <v>83</v>
      </c>
      <c r="D191" s="275"/>
      <c r="E191" s="13">
        <f>E188/D188-1</f>
        <v>0.19413886820123083</v>
      </c>
      <c r="F191" s="13">
        <f t="shared" si="17"/>
        <v>-2.6658581164851869E-2</v>
      </c>
      <c r="G191" s="13">
        <f t="shared" si="17"/>
        <v>-1.5744469775696102E-2</v>
      </c>
    </row>
    <row r="192" spans="3:7" x14ac:dyDescent="0.25">
      <c r="C192" s="350"/>
      <c r="D192" s="20">
        <v>2018</v>
      </c>
      <c r="E192" s="20">
        <v>2019</v>
      </c>
      <c r="F192" s="20">
        <v>2020</v>
      </c>
      <c r="G192" s="20">
        <v>2021</v>
      </c>
    </row>
    <row r="193" spans="3:7" ht="15.75" thickBot="1" x14ac:dyDescent="0.3">
      <c r="C193" s="351"/>
      <c r="D193" s="21" t="s">
        <v>42</v>
      </c>
      <c r="E193" s="21" t="s">
        <v>43</v>
      </c>
      <c r="F193" s="21" t="s">
        <v>43</v>
      </c>
      <c r="G193" s="21" t="s">
        <v>43</v>
      </c>
    </row>
    <row r="194" spans="3:7" ht="15.75" customHeight="1" thickBot="1" x14ac:dyDescent="0.3">
      <c r="C194" s="338" t="s">
        <v>385</v>
      </c>
      <c r="D194" s="339"/>
      <c r="E194" s="339"/>
      <c r="F194" s="339"/>
      <c r="G194" s="340"/>
    </row>
    <row r="195" spans="3:7" x14ac:dyDescent="0.25">
      <c r="C195" s="350"/>
      <c r="D195" s="20">
        <v>2018</v>
      </c>
      <c r="E195" s="20">
        <v>2019</v>
      </c>
      <c r="F195" s="20">
        <v>2020</v>
      </c>
      <c r="G195" s="20">
        <v>2021</v>
      </c>
    </row>
    <row r="196" spans="3:7" ht="15.75" thickBot="1" x14ac:dyDescent="0.3">
      <c r="C196" s="351"/>
      <c r="D196" s="21" t="s">
        <v>42</v>
      </c>
      <c r="E196" s="21" t="s">
        <v>43</v>
      </c>
      <c r="F196" s="21" t="s">
        <v>43</v>
      </c>
      <c r="G196" s="21" t="s">
        <v>43</v>
      </c>
    </row>
    <row r="197" spans="3:7" ht="15.75" thickBot="1" x14ac:dyDescent="0.3">
      <c r="C197" s="24" t="s">
        <v>85</v>
      </c>
      <c r="D197" s="25">
        <f>5974600/1000</f>
        <v>5974.6</v>
      </c>
      <c r="E197" s="25">
        <f>11006800/1000</f>
        <v>11006.8</v>
      </c>
      <c r="F197" s="25">
        <f>11557140/1000</f>
        <v>11557.14</v>
      </c>
      <c r="G197" s="25">
        <f>12134997/1000</f>
        <v>12134.996999999999</v>
      </c>
    </row>
    <row r="198" spans="3:7" ht="24.75" thickBot="1" x14ac:dyDescent="0.3">
      <c r="C198" s="24" t="s">
        <v>86</v>
      </c>
      <c r="D198" s="25">
        <v>997</v>
      </c>
      <c r="E198" s="25">
        <f>1838135/1000</f>
        <v>1838.135</v>
      </c>
      <c r="F198" s="25">
        <f>1930042/1000</f>
        <v>1930.0419999999999</v>
      </c>
      <c r="G198" s="25">
        <f>2026544/1000</f>
        <v>2026.5440000000001</v>
      </c>
    </row>
    <row r="199" spans="3:7" ht="15.75" thickBot="1" x14ac:dyDescent="0.3">
      <c r="C199" s="24" t="s">
        <v>87</v>
      </c>
      <c r="D199" s="26">
        <f>12376000/1000</f>
        <v>12376</v>
      </c>
      <c r="E199" s="25">
        <f>11800000/1000</f>
        <v>11800</v>
      </c>
      <c r="F199" s="25">
        <f>12000000/1000</f>
        <v>12000</v>
      </c>
      <c r="G199" s="25">
        <f>12400000/1000</f>
        <v>12400</v>
      </c>
    </row>
    <row r="200" spans="3:7" ht="15.75" thickBot="1" x14ac:dyDescent="0.3">
      <c r="C200" s="24" t="s">
        <v>88</v>
      </c>
      <c r="D200" s="26"/>
      <c r="E200" s="25"/>
      <c r="F200" s="25"/>
      <c r="G200" s="25"/>
    </row>
    <row r="201" spans="3:7" ht="15.75" thickBot="1" x14ac:dyDescent="0.3">
      <c r="C201" s="24" t="s">
        <v>89</v>
      </c>
      <c r="D201" s="26"/>
      <c r="E201" s="25"/>
      <c r="F201" s="25"/>
      <c r="G201" s="25"/>
    </row>
    <row r="202" spans="3:7" ht="15.75" thickBot="1" x14ac:dyDescent="0.3">
      <c r="C202" s="24" t="s">
        <v>90</v>
      </c>
      <c r="D202" s="26"/>
      <c r="E202" s="25"/>
      <c r="F202" s="25"/>
      <c r="G202" s="25"/>
    </row>
    <row r="203" spans="3:7" ht="24.75" thickBot="1" x14ac:dyDescent="0.3">
      <c r="C203" s="24" t="s">
        <v>91</v>
      </c>
      <c r="D203" s="26"/>
      <c r="E203" s="25"/>
      <c r="F203" s="25"/>
      <c r="G203" s="25"/>
    </row>
    <row r="204" spans="3:7" ht="24.75" thickBot="1" x14ac:dyDescent="0.3">
      <c r="C204" s="31" t="s">
        <v>121</v>
      </c>
      <c r="D204" s="32">
        <f>D203+D202+D201+D200+D199+D198+D197</f>
        <v>19347.599999999999</v>
      </c>
      <c r="E204" s="32">
        <f>E203+E202+E201+E200+E199+E198+E197</f>
        <v>24644.934999999998</v>
      </c>
      <c r="F204" s="32">
        <f>F203+F202+F201+F200+F199+F198+F197</f>
        <v>25487.182000000001</v>
      </c>
      <c r="G204" s="32">
        <f>G203+G202+G201+G200+G199+G198+G197</f>
        <v>26561.540999999997</v>
      </c>
    </row>
    <row r="205" spans="3:7" ht="15.75" thickBot="1" x14ac:dyDescent="0.3">
      <c r="C205" s="28" t="s">
        <v>93</v>
      </c>
      <c r="D205" s="29" t="str">
        <f>IF(D204-D187=0,0,"Error")</f>
        <v>Error</v>
      </c>
      <c r="E205" s="29" t="str">
        <f>IF(E204-E187=0,0,"Error")</f>
        <v>Error</v>
      </c>
      <c r="F205" s="29">
        <f>IF(F204-F187=0,0,"Error")</f>
        <v>0</v>
      </c>
      <c r="G205" s="29" t="str">
        <f>IF(G204-G187=0,0,"Error")</f>
        <v>Error</v>
      </c>
    </row>
    <row r="206" spans="3:7" ht="15.75" thickBot="1" x14ac:dyDescent="0.3">
      <c r="C206" s="174" t="s">
        <v>586</v>
      </c>
      <c r="D206" s="347" t="s">
        <v>587</v>
      </c>
      <c r="E206" s="348"/>
      <c r="F206" s="348"/>
      <c r="G206" s="349"/>
    </row>
    <row r="207" spans="3:7" ht="26.25" customHeight="1" thickBot="1" x14ac:dyDescent="0.3">
      <c r="C207" s="19" t="s">
        <v>73</v>
      </c>
      <c r="D207" s="552" t="s">
        <v>588</v>
      </c>
      <c r="E207" s="553"/>
      <c r="F207" s="553"/>
      <c r="G207" s="554"/>
    </row>
    <row r="208" spans="3:7" ht="15.75" thickBot="1" x14ac:dyDescent="0.3">
      <c r="C208" s="19" t="s">
        <v>75</v>
      </c>
      <c r="D208" s="347" t="s">
        <v>589</v>
      </c>
      <c r="E208" s="348"/>
      <c r="F208" s="348"/>
      <c r="G208" s="349"/>
    </row>
    <row r="209" spans="3:7" x14ac:dyDescent="0.25">
      <c r="C209" s="350"/>
      <c r="D209" s="20">
        <v>2018</v>
      </c>
      <c r="E209" s="20">
        <v>2019</v>
      </c>
      <c r="F209" s="20">
        <v>2020</v>
      </c>
      <c r="G209" s="20">
        <v>2021</v>
      </c>
    </row>
    <row r="210" spans="3:7" ht="15.75" thickBot="1" x14ac:dyDescent="0.3">
      <c r="C210" s="351"/>
      <c r="D210" s="21" t="s">
        <v>42</v>
      </c>
      <c r="E210" s="21" t="s">
        <v>43</v>
      </c>
      <c r="F210" s="21" t="s">
        <v>43</v>
      </c>
      <c r="G210" s="21" t="s">
        <v>43</v>
      </c>
    </row>
    <row r="211" spans="3:7" ht="15.75" thickBot="1" x14ac:dyDescent="0.3">
      <c r="C211" s="19" t="s">
        <v>77</v>
      </c>
      <c r="D211" s="22">
        <v>25</v>
      </c>
      <c r="E211" s="22">
        <v>27</v>
      </c>
      <c r="F211" s="22">
        <v>28</v>
      </c>
      <c r="G211" s="22">
        <v>30</v>
      </c>
    </row>
    <row r="212" spans="3:7" ht="15.75" thickBot="1" x14ac:dyDescent="0.3">
      <c r="C212" s="19" t="s">
        <v>78</v>
      </c>
      <c r="D212" s="22">
        <f>17584342/1000</f>
        <v>17584.342000000001</v>
      </c>
      <c r="E212" s="22">
        <f>19883701.7/1000</f>
        <v>19883.701699999998</v>
      </c>
      <c r="F212" s="22">
        <f>21912640/1000</f>
        <v>21912.639999999999</v>
      </c>
      <c r="G212" s="22">
        <f>19921156/1000</f>
        <v>19921.155999999999</v>
      </c>
    </row>
    <row r="213" spans="3:7" ht="15.75" thickBot="1" x14ac:dyDescent="0.3">
      <c r="C213" s="19" t="s">
        <v>79</v>
      </c>
      <c r="D213" s="22">
        <f>D212/D211</f>
        <v>703.37368000000004</v>
      </c>
      <c r="E213" s="22">
        <f t="shared" ref="E213:G213" si="18">E212/E211</f>
        <v>736.43339629629622</v>
      </c>
      <c r="F213" s="22">
        <f t="shared" si="18"/>
        <v>782.59428571428566</v>
      </c>
      <c r="G213" s="22">
        <f t="shared" si="18"/>
        <v>664.03853333333325</v>
      </c>
    </row>
    <row r="214" spans="3:7" ht="15.75" thickBot="1" x14ac:dyDescent="0.3">
      <c r="C214" s="19" t="s">
        <v>80</v>
      </c>
      <c r="D214" s="275"/>
      <c r="E214" s="13">
        <f>E211/D211-1</f>
        <v>8.0000000000000071E-2</v>
      </c>
      <c r="F214" s="13">
        <f t="shared" ref="F214:G216" si="19">F211/E211-1</f>
        <v>3.7037037037036979E-2</v>
      </c>
      <c r="G214" s="13">
        <f t="shared" si="19"/>
        <v>7.1428571428571397E-2</v>
      </c>
    </row>
    <row r="215" spans="3:7" ht="15.75" thickBot="1" x14ac:dyDescent="0.3">
      <c r="C215" s="19" t="s">
        <v>82</v>
      </c>
      <c r="D215" s="275"/>
      <c r="E215" s="13">
        <f>E212/D212-1</f>
        <v>0.13076177089822272</v>
      </c>
      <c r="F215" s="13">
        <f t="shared" si="19"/>
        <v>0.10204027049953179</v>
      </c>
      <c r="G215" s="13">
        <f t="shared" si="19"/>
        <v>-9.0882887684916147E-2</v>
      </c>
    </row>
    <row r="216" spans="3:7" ht="15.75" thickBot="1" x14ac:dyDescent="0.3">
      <c r="C216" s="19" t="s">
        <v>83</v>
      </c>
      <c r="D216" s="275"/>
      <c r="E216" s="13">
        <f>E213/D213-1</f>
        <v>4.7001639720576582E-2</v>
      </c>
      <c r="F216" s="13">
        <f t="shared" si="19"/>
        <v>6.2681689410262864E-2</v>
      </c>
      <c r="G216" s="13">
        <f t="shared" si="19"/>
        <v>-0.1514906951725884</v>
      </c>
    </row>
    <row r="217" spans="3:7" ht="15.75" customHeight="1" thickBot="1" x14ac:dyDescent="0.3">
      <c r="C217" s="338" t="s">
        <v>590</v>
      </c>
      <c r="D217" s="339"/>
      <c r="E217" s="339"/>
      <c r="F217" s="339"/>
      <c r="G217" s="340"/>
    </row>
    <row r="218" spans="3:7" x14ac:dyDescent="0.25">
      <c r="C218" s="350"/>
      <c r="D218" s="20">
        <v>2018</v>
      </c>
      <c r="E218" s="20">
        <v>2019</v>
      </c>
      <c r="F218" s="20">
        <v>2020</v>
      </c>
      <c r="G218" s="20">
        <v>2021</v>
      </c>
    </row>
    <row r="219" spans="3:7" ht="15.75" thickBot="1" x14ac:dyDescent="0.3">
      <c r="C219" s="351"/>
      <c r="D219" s="21" t="s">
        <v>42</v>
      </c>
      <c r="E219" s="21" t="s">
        <v>43</v>
      </c>
      <c r="F219" s="21" t="s">
        <v>43</v>
      </c>
      <c r="G219" s="21" t="s">
        <v>43</v>
      </c>
    </row>
    <row r="220" spans="3:7" ht="15.75" thickBot="1" x14ac:dyDescent="0.3">
      <c r="C220" s="24" t="s">
        <v>85</v>
      </c>
      <c r="D220" s="25">
        <f>5987300/1000</f>
        <v>5987.3</v>
      </c>
      <c r="E220" s="25">
        <f>8255100/1000</f>
        <v>8255.1</v>
      </c>
      <c r="F220" s="25">
        <f>8667855/1000</f>
        <v>8667.8549999999996</v>
      </c>
      <c r="G220" s="25">
        <f>9101248/1000</f>
        <v>9101.2479999999996</v>
      </c>
    </row>
    <row r="221" spans="3:7" ht="24.75" thickBot="1" x14ac:dyDescent="0.3">
      <c r="C221" s="24" t="s">
        <v>86</v>
      </c>
      <c r="D221" s="25">
        <f>1065042/1000</f>
        <v>1065.0419999999999</v>
      </c>
      <c r="E221" s="25">
        <f>1378601.7/1000</f>
        <v>1378.6016999999999</v>
      </c>
      <c r="F221" s="25">
        <f>1447531/1000</f>
        <v>1447.5309999999999</v>
      </c>
      <c r="G221" s="25">
        <f>1519908/1000</f>
        <v>1519.9079999999999</v>
      </c>
    </row>
    <row r="222" spans="3:7" ht="15.75" thickBot="1" x14ac:dyDescent="0.3">
      <c r="C222" s="24" t="s">
        <v>87</v>
      </c>
      <c r="D222" s="26">
        <f>10532000/1000</f>
        <v>10532</v>
      </c>
      <c r="E222" s="25">
        <f>10250000/1000</f>
        <v>10250</v>
      </c>
      <c r="F222" s="25">
        <f>11797254/1000</f>
        <v>11797.254000000001</v>
      </c>
      <c r="G222" s="25">
        <f>9300000/1000</f>
        <v>9300</v>
      </c>
    </row>
    <row r="223" spans="3:7" ht="15.75" thickBot="1" x14ac:dyDescent="0.3">
      <c r="C223" s="24" t="s">
        <v>88</v>
      </c>
      <c r="D223" s="26"/>
      <c r="E223" s="25"/>
      <c r="F223" s="25"/>
      <c r="G223" s="25"/>
    </row>
    <row r="224" spans="3:7" ht="15.75" thickBot="1" x14ac:dyDescent="0.3">
      <c r="C224" s="24" t="s">
        <v>89</v>
      </c>
      <c r="D224" s="26"/>
      <c r="E224" s="25"/>
      <c r="F224" s="25"/>
      <c r="G224" s="25"/>
    </row>
    <row r="225" spans="3:7" ht="15.75" thickBot="1" x14ac:dyDescent="0.3">
      <c r="C225" s="24" t="s">
        <v>90</v>
      </c>
      <c r="D225" s="26"/>
      <c r="E225" s="25"/>
      <c r="F225" s="25"/>
      <c r="G225" s="25"/>
    </row>
    <row r="226" spans="3:7" ht="24.75" thickBot="1" x14ac:dyDescent="0.3">
      <c r="C226" s="24" t="s">
        <v>91</v>
      </c>
      <c r="D226" s="26"/>
      <c r="E226" s="25"/>
      <c r="F226" s="25"/>
      <c r="G226" s="25"/>
    </row>
    <row r="227" spans="3:7" ht="24.75" thickBot="1" x14ac:dyDescent="0.3">
      <c r="C227" s="31" t="s">
        <v>121</v>
      </c>
      <c r="D227" s="71">
        <f>D226+D224+D225+D223+D222+D221+D220</f>
        <v>17584.342000000001</v>
      </c>
      <c r="E227" s="71">
        <f>E226+E224+E225+E223+E222+E221+E220</f>
        <v>19883.701699999998</v>
      </c>
      <c r="F227" s="71">
        <f>F226+F224+F225+F223+F222+F221+F220</f>
        <v>21912.639999999999</v>
      </c>
      <c r="G227" s="71">
        <f>G226+G224+G225+G223+G222+G221+G220</f>
        <v>19921.155999999999</v>
      </c>
    </row>
    <row r="228" spans="3:7" ht="15.75" thickBot="1" x14ac:dyDescent="0.3">
      <c r="C228" s="28" t="s">
        <v>93</v>
      </c>
      <c r="D228" s="29">
        <f>IF(D227-D212=0,0,"Error")</f>
        <v>0</v>
      </c>
      <c r="E228" s="29">
        <f>IF(E227-E212=0,0,"Error")</f>
        <v>0</v>
      </c>
      <c r="F228" s="29">
        <f>IF(F227-F212=0,0,"Error")</f>
        <v>0</v>
      </c>
      <c r="G228" s="29">
        <f>IF(G227-G212=0,0,"Error")</f>
        <v>0</v>
      </c>
    </row>
    <row r="229" spans="3:7" ht="15.75" thickBot="1" x14ac:dyDescent="0.3">
      <c r="C229" s="174" t="s">
        <v>591</v>
      </c>
      <c r="D229" s="347" t="s">
        <v>592</v>
      </c>
      <c r="E229" s="348"/>
      <c r="F229" s="348"/>
      <c r="G229" s="349"/>
    </row>
    <row r="230" spans="3:7" ht="15.75" customHeight="1" thickBot="1" x14ac:dyDescent="0.3">
      <c r="C230" s="19" t="s">
        <v>73</v>
      </c>
      <c r="D230" s="335" t="s">
        <v>593</v>
      </c>
      <c r="E230" s="336"/>
      <c r="F230" s="336"/>
      <c r="G230" s="337"/>
    </row>
    <row r="231" spans="3:7" ht="15.75" thickBot="1" x14ac:dyDescent="0.3">
      <c r="C231" s="19" t="s">
        <v>75</v>
      </c>
      <c r="D231" s="347" t="s">
        <v>574</v>
      </c>
      <c r="E231" s="348"/>
      <c r="F231" s="348"/>
      <c r="G231" s="349"/>
    </row>
    <row r="232" spans="3:7" x14ac:dyDescent="0.25">
      <c r="C232" s="350"/>
      <c r="D232" s="20">
        <v>2018</v>
      </c>
      <c r="E232" s="20">
        <v>2019</v>
      </c>
      <c r="F232" s="20">
        <v>2020</v>
      </c>
      <c r="G232" s="20">
        <v>2021</v>
      </c>
    </row>
    <row r="233" spans="3:7" ht="15.75" thickBot="1" x14ac:dyDescent="0.3">
      <c r="C233" s="351"/>
      <c r="D233" s="21" t="s">
        <v>42</v>
      </c>
      <c r="E233" s="21" t="s">
        <v>43</v>
      </c>
      <c r="F233" s="21" t="s">
        <v>43</v>
      </c>
      <c r="G233" s="21" t="s">
        <v>43</v>
      </c>
    </row>
    <row r="234" spans="3:7" ht="15.75" thickBot="1" x14ac:dyDescent="0.3">
      <c r="C234" s="19" t="s">
        <v>77</v>
      </c>
      <c r="D234" s="22">
        <v>190</v>
      </c>
      <c r="E234" s="22">
        <v>220</v>
      </c>
      <c r="F234" s="22">
        <v>230</v>
      </c>
      <c r="G234" s="22">
        <v>240</v>
      </c>
    </row>
    <row r="235" spans="3:7" ht="15.75" thickBot="1" x14ac:dyDescent="0.3">
      <c r="C235" s="19" t="s">
        <v>78</v>
      </c>
      <c r="D235" s="22">
        <f>688000/1000</f>
        <v>688</v>
      </c>
      <c r="E235" s="22">
        <f>11458457.225/1000</f>
        <v>11458.457225</v>
      </c>
      <c r="F235" s="22">
        <f>13143591.19/1000</f>
        <v>13143.591189999999</v>
      </c>
      <c r="G235" s="22">
        <f>12378172/1000</f>
        <v>12378.172</v>
      </c>
    </row>
    <row r="236" spans="3:7" ht="15.75" thickBot="1" x14ac:dyDescent="0.3">
      <c r="C236" s="19" t="s">
        <v>79</v>
      </c>
      <c r="D236" s="22">
        <f>D235/D234</f>
        <v>3.6210526315789475</v>
      </c>
      <c r="E236" s="22">
        <f t="shared" ref="E236:G236" si="20">E235/E234</f>
        <v>52.083896477272731</v>
      </c>
      <c r="F236" s="22">
        <f t="shared" si="20"/>
        <v>57.14604865217391</v>
      </c>
      <c r="G236" s="22">
        <f t="shared" si="20"/>
        <v>51.575716666666672</v>
      </c>
    </row>
    <row r="237" spans="3:7" ht="15.75" thickBot="1" x14ac:dyDescent="0.3">
      <c r="C237" s="19" t="s">
        <v>80</v>
      </c>
      <c r="D237" s="275"/>
      <c r="E237" s="13">
        <f>E234/D234-1</f>
        <v>0.15789473684210531</v>
      </c>
      <c r="F237" s="13">
        <f t="shared" ref="F237:G239" si="21">F234/E234-1</f>
        <v>4.5454545454545414E-2</v>
      </c>
      <c r="G237" s="13">
        <f t="shared" si="21"/>
        <v>4.3478260869565188E-2</v>
      </c>
    </row>
    <row r="238" spans="3:7" ht="15.75" thickBot="1" x14ac:dyDescent="0.3">
      <c r="C238" s="19" t="s">
        <v>82</v>
      </c>
      <c r="D238" s="275"/>
      <c r="E238" s="13">
        <f>E235/D235-1</f>
        <v>15.654734338662792</v>
      </c>
      <c r="F238" s="13">
        <f t="shared" si="21"/>
        <v>0.14706464682901488</v>
      </c>
      <c r="G238" s="13">
        <f t="shared" si="21"/>
        <v>-5.8235164114230131E-2</v>
      </c>
    </row>
    <row r="239" spans="3:7" ht="15.75" thickBot="1" x14ac:dyDescent="0.3">
      <c r="C239" s="19" t="s">
        <v>83</v>
      </c>
      <c r="D239" s="275"/>
      <c r="E239" s="13">
        <f>E236/D236-1</f>
        <v>13.383634201572411</v>
      </c>
      <c r="F239" s="13">
        <f t="shared" si="21"/>
        <v>9.7192270879927323E-2</v>
      </c>
      <c r="G239" s="13">
        <f t="shared" si="21"/>
        <v>-9.7475365609470455E-2</v>
      </c>
    </row>
    <row r="240" spans="3:7" ht="15.75" customHeight="1" thickBot="1" x14ac:dyDescent="0.3">
      <c r="C240" s="338" t="s">
        <v>590</v>
      </c>
      <c r="D240" s="339"/>
      <c r="E240" s="339"/>
      <c r="F240" s="339"/>
      <c r="G240" s="340"/>
    </row>
    <row r="241" spans="3:7" x14ac:dyDescent="0.25">
      <c r="C241" s="350"/>
      <c r="D241" s="20">
        <v>2018</v>
      </c>
      <c r="E241" s="20">
        <v>2019</v>
      </c>
      <c r="F241" s="20">
        <v>2020</v>
      </c>
      <c r="G241" s="20">
        <v>2021</v>
      </c>
    </row>
    <row r="242" spans="3:7" ht="15.75" thickBot="1" x14ac:dyDescent="0.3">
      <c r="C242" s="351"/>
      <c r="D242" s="21" t="s">
        <v>42</v>
      </c>
      <c r="E242" s="21" t="s">
        <v>43</v>
      </c>
      <c r="F242" s="21" t="s">
        <v>43</v>
      </c>
      <c r="G242" s="21" t="s">
        <v>43</v>
      </c>
    </row>
    <row r="243" spans="3:7" ht="15.75" thickBot="1" x14ac:dyDescent="0.3">
      <c r="C243" s="24" t="s">
        <v>85</v>
      </c>
      <c r="D243" s="25">
        <v>0</v>
      </c>
      <c r="E243" s="25">
        <f>5503400/1000</f>
        <v>5503.4</v>
      </c>
      <c r="F243" s="25">
        <f>5778570/1000</f>
        <v>5778.57</v>
      </c>
      <c r="G243" s="25">
        <f>5995499/1000</f>
        <v>5995.4989999999998</v>
      </c>
    </row>
    <row r="244" spans="3:7" ht="24.75" thickBot="1" x14ac:dyDescent="0.3">
      <c r="C244" s="24" t="s">
        <v>86</v>
      </c>
      <c r="D244" s="25">
        <v>0</v>
      </c>
      <c r="E244" s="25">
        <f>102687.225/1000</f>
        <v>102.68722500000001</v>
      </c>
      <c r="F244" s="25">
        <f>SUM(F243)*16.7%</f>
        <v>965.02118999999982</v>
      </c>
      <c r="G244" s="25">
        <f>1001249/1000</f>
        <v>1001.249</v>
      </c>
    </row>
    <row r="245" spans="3:7" ht="15.75" thickBot="1" x14ac:dyDescent="0.3">
      <c r="C245" s="24" t="s">
        <v>87</v>
      </c>
      <c r="D245" s="26">
        <f>688000/1000</f>
        <v>688</v>
      </c>
      <c r="E245" s="25">
        <f>5852370/1000</f>
        <v>5852.37</v>
      </c>
      <c r="F245" s="25">
        <f>6400000/1000</f>
        <v>6400</v>
      </c>
      <c r="G245" s="25">
        <f>5381424/1000</f>
        <v>5381.424</v>
      </c>
    </row>
    <row r="246" spans="3:7" ht="15.75" thickBot="1" x14ac:dyDescent="0.3">
      <c r="C246" s="24" t="s">
        <v>88</v>
      </c>
      <c r="D246" s="26"/>
      <c r="E246" s="25"/>
      <c r="F246" s="25"/>
      <c r="G246" s="25"/>
    </row>
    <row r="247" spans="3:7" ht="15.75" thickBot="1" x14ac:dyDescent="0.3">
      <c r="C247" s="24" t="s">
        <v>89</v>
      </c>
      <c r="D247" s="26"/>
      <c r="E247" s="25"/>
      <c r="F247" s="25"/>
      <c r="G247" s="25"/>
    </row>
    <row r="248" spans="3:7" ht="15.75" thickBot="1" x14ac:dyDescent="0.3">
      <c r="C248" s="24" t="s">
        <v>90</v>
      </c>
      <c r="D248" s="26"/>
      <c r="E248" s="25"/>
      <c r="F248" s="25"/>
      <c r="G248" s="25"/>
    </row>
    <row r="249" spans="3:7" ht="24.75" thickBot="1" x14ac:dyDescent="0.3">
      <c r="C249" s="24" t="s">
        <v>91</v>
      </c>
      <c r="D249" s="26"/>
      <c r="E249" s="25"/>
      <c r="F249" s="25"/>
      <c r="G249" s="25"/>
    </row>
    <row r="250" spans="3:7" ht="24.75" thickBot="1" x14ac:dyDescent="0.3">
      <c r="C250" s="31" t="s">
        <v>121</v>
      </c>
      <c r="D250" s="71">
        <f>D249+D247+D248+D246+D245+D244+D243</f>
        <v>688</v>
      </c>
      <c r="E250" s="71">
        <f>E249+E247+E248+E246+E245+E244+E243</f>
        <v>11458.457224999998</v>
      </c>
      <c r="F250" s="71">
        <f>F249+F247+F248+F246+F245+F244+F243</f>
        <v>13143.591189999999</v>
      </c>
      <c r="G250" s="71">
        <f>G249+G247+G248+G246+G245+G244+G243</f>
        <v>12378.171999999999</v>
      </c>
    </row>
    <row r="251" spans="3:7" ht="15.75" thickBot="1" x14ac:dyDescent="0.3">
      <c r="C251" s="28" t="s">
        <v>93</v>
      </c>
      <c r="D251" s="29">
        <f>IF(D250-D235=0,0,"Error")</f>
        <v>0</v>
      </c>
      <c r="E251" s="29" t="str">
        <f>IF(E250-E235=0,0,"Error")</f>
        <v>Error</v>
      </c>
      <c r="F251" s="29">
        <f>IF(F250-F235=0,0,"Error")</f>
        <v>0</v>
      </c>
      <c r="G251" s="29" t="str">
        <f>IF(G250-G235=0,0,"Error")</f>
        <v>Error</v>
      </c>
    </row>
    <row r="252" spans="3:7" ht="15.75" thickBot="1" x14ac:dyDescent="0.3">
      <c r="C252" s="174" t="s">
        <v>591</v>
      </c>
      <c r="D252" s="344" t="s">
        <v>594</v>
      </c>
      <c r="E252" s="345"/>
      <c r="F252" s="345"/>
      <c r="G252" s="346"/>
    </row>
    <row r="253" spans="3:7" ht="26.25" customHeight="1" thickBot="1" x14ac:dyDescent="0.3">
      <c r="C253" s="19" t="s">
        <v>73</v>
      </c>
      <c r="D253" s="335" t="s">
        <v>595</v>
      </c>
      <c r="E253" s="336"/>
      <c r="F253" s="336"/>
      <c r="G253" s="337"/>
    </row>
    <row r="254" spans="3:7" ht="15.75" thickBot="1" x14ac:dyDescent="0.3">
      <c r="C254" s="19" t="s">
        <v>75</v>
      </c>
      <c r="D254" s="347" t="s">
        <v>574</v>
      </c>
      <c r="E254" s="348"/>
      <c r="F254" s="348"/>
      <c r="G254" s="349"/>
    </row>
    <row r="255" spans="3:7" x14ac:dyDescent="0.25">
      <c r="C255" s="350"/>
      <c r="D255" s="20">
        <v>2018</v>
      </c>
      <c r="E255" s="20">
        <v>2019</v>
      </c>
      <c r="F255" s="20">
        <v>2020</v>
      </c>
      <c r="G255" s="20">
        <v>2021</v>
      </c>
    </row>
    <row r="256" spans="3:7" ht="15.75" thickBot="1" x14ac:dyDescent="0.3">
      <c r="C256" s="351"/>
      <c r="D256" s="21" t="s">
        <v>42</v>
      </c>
      <c r="E256" s="21" t="s">
        <v>43</v>
      </c>
      <c r="F256" s="21" t="s">
        <v>43</v>
      </c>
      <c r="G256" s="21" t="s">
        <v>43</v>
      </c>
    </row>
    <row r="257" spans="3:7" ht="15.75" thickBot="1" x14ac:dyDescent="0.3">
      <c r="C257" s="19" t="s">
        <v>77</v>
      </c>
      <c r="D257" s="22">
        <v>1</v>
      </c>
      <c r="E257" s="22">
        <v>5</v>
      </c>
      <c r="F257" s="22">
        <v>10</v>
      </c>
      <c r="G257" s="22">
        <v>25</v>
      </c>
    </row>
    <row r="258" spans="3:7" ht="15.75" thickBot="1" x14ac:dyDescent="0.3">
      <c r="C258" s="19" t="s">
        <v>78</v>
      </c>
      <c r="D258" s="22">
        <f>6402300/1000</f>
        <v>6402.3</v>
      </c>
      <c r="E258" s="22">
        <f>6161233/1000</f>
        <v>6161.2330000000002</v>
      </c>
      <c r="F258" s="22">
        <f>6612796/1000</f>
        <v>6612.7960000000003</v>
      </c>
      <c r="G258" s="22">
        <f>6640385/1000</f>
        <v>6640.3850000000002</v>
      </c>
    </row>
    <row r="259" spans="3:7" ht="15.75" thickBot="1" x14ac:dyDescent="0.3">
      <c r="C259" s="19" t="s">
        <v>79</v>
      </c>
      <c r="D259" s="22">
        <f>D258/D257</f>
        <v>6402.3</v>
      </c>
      <c r="E259" s="22">
        <f t="shared" ref="E259:G259" si="22">E258/E257</f>
        <v>1232.2465999999999</v>
      </c>
      <c r="F259" s="22">
        <f t="shared" si="22"/>
        <v>661.27960000000007</v>
      </c>
      <c r="G259" s="22">
        <f t="shared" si="22"/>
        <v>265.61540000000002</v>
      </c>
    </row>
    <row r="260" spans="3:7" ht="15.75" thickBot="1" x14ac:dyDescent="0.3">
      <c r="C260" s="19" t="s">
        <v>80</v>
      </c>
      <c r="D260" s="275"/>
      <c r="E260" s="13">
        <f>E257/D257-1</f>
        <v>4</v>
      </c>
      <c r="F260" s="13">
        <f t="shared" ref="F260:G262" si="23">F257/E257-1</f>
        <v>1</v>
      </c>
      <c r="G260" s="13">
        <f t="shared" si="23"/>
        <v>1.5</v>
      </c>
    </row>
    <row r="261" spans="3:7" ht="15.75" thickBot="1" x14ac:dyDescent="0.3">
      <c r="C261" s="19" t="s">
        <v>82</v>
      </c>
      <c r="D261" s="275"/>
      <c r="E261" s="13">
        <f>E258/D258-1</f>
        <v>-3.7653187135873067E-2</v>
      </c>
      <c r="F261" s="13">
        <f t="shared" si="23"/>
        <v>7.329101171794683E-2</v>
      </c>
      <c r="G261" s="13">
        <f t="shared" si="23"/>
        <v>4.172062770422702E-3</v>
      </c>
    </row>
    <row r="262" spans="3:7" ht="15.75" thickBot="1" x14ac:dyDescent="0.3">
      <c r="C262" s="19" t="s">
        <v>83</v>
      </c>
      <c r="D262" s="275"/>
      <c r="E262" s="13">
        <f>E259/D259-1</f>
        <v>-0.80753063742717468</v>
      </c>
      <c r="F262" s="13">
        <f t="shared" si="23"/>
        <v>-0.46335449414102658</v>
      </c>
      <c r="G262" s="13">
        <f t="shared" si="23"/>
        <v>-0.59833117489183096</v>
      </c>
    </row>
    <row r="263" spans="3:7" ht="15.75" customHeight="1" thickBot="1" x14ac:dyDescent="0.3">
      <c r="C263" s="338" t="s">
        <v>590</v>
      </c>
      <c r="D263" s="339"/>
      <c r="E263" s="339"/>
      <c r="F263" s="339"/>
      <c r="G263" s="340"/>
    </row>
    <row r="264" spans="3:7" x14ac:dyDescent="0.25">
      <c r="C264" s="350"/>
      <c r="D264" s="20">
        <v>2018</v>
      </c>
      <c r="E264" s="20">
        <v>2019</v>
      </c>
      <c r="F264" s="20">
        <v>2020</v>
      </c>
      <c r="G264" s="20">
        <v>2021</v>
      </c>
    </row>
    <row r="265" spans="3:7" ht="15.75" thickBot="1" x14ac:dyDescent="0.3">
      <c r="C265" s="351"/>
      <c r="D265" s="21" t="s">
        <v>42</v>
      </c>
      <c r="E265" s="21" t="s">
        <v>43</v>
      </c>
      <c r="F265" s="21" t="s">
        <v>43</v>
      </c>
      <c r="G265" s="21" t="s">
        <v>43</v>
      </c>
    </row>
    <row r="266" spans="3:7" ht="15.75" thickBot="1" x14ac:dyDescent="0.3">
      <c r="C266" s="24" t="s">
        <v>85</v>
      </c>
      <c r="D266" s="25">
        <f>1329100/1000</f>
        <v>1329.1</v>
      </c>
      <c r="E266" s="25">
        <f>2751700/1000</f>
        <v>2751.7</v>
      </c>
      <c r="F266" s="25">
        <f>2889285/1000</f>
        <v>2889.2849999999999</v>
      </c>
      <c r="G266" s="25">
        <f>3033749/1000</f>
        <v>3033.7489999999998</v>
      </c>
    </row>
    <row r="267" spans="3:7" ht="24.75" thickBot="1" x14ac:dyDescent="0.3">
      <c r="C267" s="24" t="s">
        <v>86</v>
      </c>
      <c r="D267" s="25">
        <f>229200/1000</f>
        <v>229.2</v>
      </c>
      <c r="E267" s="25">
        <f>459533/1000</f>
        <v>459.53300000000002</v>
      </c>
      <c r="F267" s="25">
        <f>482511/1000</f>
        <v>482.51100000000002</v>
      </c>
      <c r="G267" s="25">
        <f>506636/1000</f>
        <v>506.63600000000002</v>
      </c>
    </row>
    <row r="268" spans="3:7" ht="15.75" thickBot="1" x14ac:dyDescent="0.3">
      <c r="C268" s="24" t="s">
        <v>87</v>
      </c>
      <c r="D268" s="26">
        <f>4844000/1000</f>
        <v>4844</v>
      </c>
      <c r="E268" s="25">
        <f>2950000/1000</f>
        <v>2950</v>
      </c>
      <c r="F268" s="25">
        <f>3241000/1000</f>
        <v>3241</v>
      </c>
      <c r="G268" s="25">
        <f>3100000/1000</f>
        <v>3100</v>
      </c>
    </row>
    <row r="269" spans="3:7" ht="15.75" thickBot="1" x14ac:dyDescent="0.3">
      <c r="C269" s="24" t="s">
        <v>88</v>
      </c>
      <c r="D269" s="26"/>
      <c r="E269" s="25"/>
      <c r="F269" s="25"/>
      <c r="G269" s="25"/>
    </row>
    <row r="270" spans="3:7" ht="15.75" thickBot="1" x14ac:dyDescent="0.3">
      <c r="C270" s="24" t="s">
        <v>89</v>
      </c>
      <c r="D270" s="26"/>
      <c r="E270" s="25"/>
      <c r="F270" s="25"/>
      <c r="G270" s="25"/>
    </row>
    <row r="271" spans="3:7" ht="15.75" thickBot="1" x14ac:dyDescent="0.3">
      <c r="C271" s="24" t="s">
        <v>90</v>
      </c>
      <c r="D271" s="26"/>
      <c r="E271" s="25"/>
      <c r="F271" s="25"/>
      <c r="G271" s="25"/>
    </row>
    <row r="272" spans="3:7" ht="24.75" thickBot="1" x14ac:dyDescent="0.3">
      <c r="C272" s="24" t="s">
        <v>91</v>
      </c>
      <c r="D272" s="26"/>
      <c r="E272" s="25"/>
      <c r="F272" s="25"/>
      <c r="G272" s="25"/>
    </row>
    <row r="273" spans="3:7" ht="24.75" thickBot="1" x14ac:dyDescent="0.3">
      <c r="C273" s="31" t="s">
        <v>121</v>
      </c>
      <c r="D273" s="71">
        <f>D272+D270+D271+D269+D268+D267+D266</f>
        <v>6402.2999999999993</v>
      </c>
      <c r="E273" s="71">
        <f>E272+E270+E271+E269+E268+E267+E266</f>
        <v>6161.2330000000002</v>
      </c>
      <c r="F273" s="71">
        <f>F272+F270+F271+F269+F268+F267+F266</f>
        <v>6612.7960000000003</v>
      </c>
      <c r="G273" s="71">
        <f>G272+G270+G271+G269+G268+G267+G266</f>
        <v>6640.3850000000002</v>
      </c>
    </row>
    <row r="274" spans="3:7" ht="15.75" thickBot="1" x14ac:dyDescent="0.3">
      <c r="C274" s="28" t="s">
        <v>93</v>
      </c>
      <c r="D274" s="29" t="str">
        <f>IF(D273-D258=0,0,"Error")</f>
        <v>Error</v>
      </c>
      <c r="E274" s="29">
        <f>IF(E273-E258=0,0,"Error")</f>
        <v>0</v>
      </c>
      <c r="F274" s="29">
        <f>IF(F273-F258=0,0,"Error")</f>
        <v>0</v>
      </c>
      <c r="G274" s="29">
        <f>IF(G273-G258=0,0,"Error")</f>
        <v>0</v>
      </c>
    </row>
    <row r="275" spans="3:7" ht="15.75" thickBot="1" x14ac:dyDescent="0.3">
      <c r="C275" s="174" t="s">
        <v>591</v>
      </c>
      <c r="D275" s="344" t="s">
        <v>596</v>
      </c>
      <c r="E275" s="345"/>
      <c r="F275" s="345"/>
      <c r="G275" s="346"/>
    </row>
    <row r="276" spans="3:7" ht="15.75" customHeight="1" thickBot="1" x14ac:dyDescent="0.3">
      <c r="C276" s="19" t="s">
        <v>73</v>
      </c>
      <c r="D276" s="335" t="s">
        <v>597</v>
      </c>
      <c r="E276" s="336"/>
      <c r="F276" s="336"/>
      <c r="G276" s="337"/>
    </row>
    <row r="277" spans="3:7" ht="15.75" thickBot="1" x14ac:dyDescent="0.3">
      <c r="C277" s="19" t="s">
        <v>75</v>
      </c>
      <c r="D277" s="347" t="s">
        <v>574</v>
      </c>
      <c r="E277" s="348"/>
      <c r="F277" s="348"/>
      <c r="G277" s="349"/>
    </row>
    <row r="278" spans="3:7" x14ac:dyDescent="0.25">
      <c r="C278" s="350"/>
      <c r="D278" s="20">
        <v>2018</v>
      </c>
      <c r="E278" s="20">
        <v>2019</v>
      </c>
      <c r="F278" s="20">
        <v>2020</v>
      </c>
      <c r="G278" s="20">
        <v>2021</v>
      </c>
    </row>
    <row r="279" spans="3:7" ht="15.75" thickBot="1" x14ac:dyDescent="0.3">
      <c r="C279" s="351"/>
      <c r="D279" s="21" t="s">
        <v>42</v>
      </c>
      <c r="E279" s="21" t="s">
        <v>43</v>
      </c>
      <c r="F279" s="21" t="s">
        <v>43</v>
      </c>
      <c r="G279" s="21" t="s">
        <v>43</v>
      </c>
    </row>
    <row r="280" spans="3:7" ht="15.75" thickBot="1" x14ac:dyDescent="0.3">
      <c r="C280" s="19" t="s">
        <v>77</v>
      </c>
      <c r="D280" s="22">
        <v>10</v>
      </c>
      <c r="E280" s="22">
        <v>15</v>
      </c>
      <c r="F280" s="22">
        <v>10</v>
      </c>
      <c r="G280" s="22">
        <v>10</v>
      </c>
    </row>
    <row r="281" spans="3:7" ht="15.75" thickBot="1" x14ac:dyDescent="0.3">
      <c r="C281" s="19" t="s">
        <v>78</v>
      </c>
      <c r="D281" s="22">
        <f>47227904/1000</f>
        <v>47227.904000000002</v>
      </c>
      <c r="E281" s="22">
        <f>51053166.54795/1000</f>
        <v>51053.166547950001</v>
      </c>
      <c r="F281" s="22">
        <f>58596001/1000</f>
        <v>58596.000999999997</v>
      </c>
      <c r="G281" s="22">
        <f>40747844/1000</f>
        <v>40747.843999999997</v>
      </c>
    </row>
    <row r="282" spans="3:7" ht="15.75" thickBot="1" x14ac:dyDescent="0.3">
      <c r="C282" s="19" t="s">
        <v>79</v>
      </c>
      <c r="D282" s="22">
        <f>D281/D280</f>
        <v>4722.7903999999999</v>
      </c>
      <c r="E282" s="22">
        <f t="shared" ref="E282:G282" si="24">E281/E280</f>
        <v>3403.54443653</v>
      </c>
      <c r="F282" s="22">
        <f t="shared" si="24"/>
        <v>5859.6000999999997</v>
      </c>
      <c r="G282" s="22">
        <f t="shared" si="24"/>
        <v>4074.7843999999996</v>
      </c>
    </row>
    <row r="283" spans="3:7" ht="15.75" thickBot="1" x14ac:dyDescent="0.3">
      <c r="C283" s="19" t="s">
        <v>80</v>
      </c>
      <c r="D283" s="275"/>
      <c r="E283" s="13">
        <f>E280/D280-1</f>
        <v>0.5</v>
      </c>
      <c r="F283" s="13">
        <f t="shared" ref="F283:G285" si="25">F280/E280-1</f>
        <v>-0.33333333333333337</v>
      </c>
      <c r="G283" s="13">
        <f t="shared" si="25"/>
        <v>0</v>
      </c>
    </row>
    <row r="284" spans="3:7" ht="15.75" thickBot="1" x14ac:dyDescent="0.3">
      <c r="C284" s="19" t="s">
        <v>82</v>
      </c>
      <c r="D284" s="275"/>
      <c r="E284" s="13">
        <f>E281/D281-1</f>
        <v>8.0995814422549772E-2</v>
      </c>
      <c r="F284" s="13">
        <f t="shared" si="25"/>
        <v>0.14774469366098253</v>
      </c>
      <c r="G284" s="13">
        <f t="shared" si="25"/>
        <v>-0.30459684441605495</v>
      </c>
    </row>
    <row r="285" spans="3:7" ht="15.75" thickBot="1" x14ac:dyDescent="0.3">
      <c r="C285" s="19" t="s">
        <v>83</v>
      </c>
      <c r="D285" s="275"/>
      <c r="E285" s="13">
        <f>E282/D282-1</f>
        <v>-0.27933612371830008</v>
      </c>
      <c r="F285" s="13">
        <f t="shared" si="25"/>
        <v>0.7216170404914739</v>
      </c>
      <c r="G285" s="13">
        <f t="shared" si="25"/>
        <v>-0.30459684441605495</v>
      </c>
    </row>
    <row r="286" spans="3:7" ht="15.75" customHeight="1" thickBot="1" x14ac:dyDescent="0.3">
      <c r="C286" s="338" t="s">
        <v>590</v>
      </c>
      <c r="D286" s="339"/>
      <c r="E286" s="339"/>
      <c r="F286" s="339"/>
      <c r="G286" s="340"/>
    </row>
    <row r="287" spans="3:7" x14ac:dyDescent="0.25">
      <c r="C287" s="350"/>
      <c r="D287" s="20">
        <v>2018</v>
      </c>
      <c r="E287" s="20">
        <v>2019</v>
      </c>
      <c r="F287" s="20">
        <v>2020</v>
      </c>
      <c r="G287" s="20">
        <v>2021</v>
      </c>
    </row>
    <row r="288" spans="3:7" ht="15.75" thickBot="1" x14ac:dyDescent="0.3">
      <c r="C288" s="351"/>
      <c r="D288" s="21" t="s">
        <v>42</v>
      </c>
      <c r="E288" s="21" t="s">
        <v>43</v>
      </c>
      <c r="F288" s="21" t="s">
        <v>43</v>
      </c>
      <c r="G288" s="21" t="s">
        <v>43</v>
      </c>
    </row>
    <row r="289" spans="3:7" ht="15.75" thickBot="1" x14ac:dyDescent="0.3">
      <c r="C289" s="24" t="s">
        <v>85</v>
      </c>
      <c r="D289" s="25">
        <f>3960637/1000</f>
        <v>3960.6370000000002</v>
      </c>
      <c r="E289" s="25">
        <f>4158668.85/1000</f>
        <v>4158.66885</v>
      </c>
      <c r="F289" s="25">
        <f>4366602/1000</f>
        <v>4366.6019999999999</v>
      </c>
      <c r="G289" s="188">
        <f>4582525/1000</f>
        <v>4582.5249999999996</v>
      </c>
    </row>
    <row r="290" spans="3:7" ht="24.75" thickBot="1" x14ac:dyDescent="0.3">
      <c r="C290" s="24" t="s">
        <v>86</v>
      </c>
      <c r="D290" s="25">
        <f>1157267/1000</f>
        <v>1157.2670000000001</v>
      </c>
      <c r="E290" s="25">
        <f>SUM(E289)*16.7%</f>
        <v>694.49769794999997</v>
      </c>
      <c r="F290" s="25">
        <f>729222/1000</f>
        <v>729.22199999999998</v>
      </c>
      <c r="G290" s="109">
        <f>765319/1000</f>
        <v>765.31899999999996</v>
      </c>
    </row>
    <row r="291" spans="3:7" ht="15.75" thickBot="1" x14ac:dyDescent="0.3">
      <c r="C291" s="24" t="s">
        <v>87</v>
      </c>
      <c r="D291" s="26">
        <f>42110000/1000</f>
        <v>42110</v>
      </c>
      <c r="E291" s="25">
        <f>46200000/1000</f>
        <v>46200</v>
      </c>
      <c r="F291" s="25">
        <f>53500177/1000</f>
        <v>53500.177000000003</v>
      </c>
      <c r="G291" s="25">
        <f>35400000/1000</f>
        <v>35400</v>
      </c>
    </row>
    <row r="292" spans="3:7" ht="15.75" thickBot="1" x14ac:dyDescent="0.3">
      <c r="C292" s="24" t="s">
        <v>88</v>
      </c>
      <c r="D292" s="26"/>
      <c r="E292" s="25"/>
      <c r="F292" s="25"/>
      <c r="G292" s="25"/>
    </row>
    <row r="293" spans="3:7" ht="15.75" thickBot="1" x14ac:dyDescent="0.3">
      <c r="C293" s="24" t="s">
        <v>89</v>
      </c>
      <c r="D293" s="26"/>
      <c r="E293" s="25"/>
      <c r="F293" s="25"/>
      <c r="G293" s="25"/>
    </row>
    <row r="294" spans="3:7" ht="15.75" thickBot="1" x14ac:dyDescent="0.3">
      <c r="C294" s="24" t="s">
        <v>90</v>
      </c>
      <c r="D294" s="26"/>
      <c r="E294" s="25"/>
      <c r="F294" s="25"/>
      <c r="G294" s="25"/>
    </row>
    <row r="295" spans="3:7" ht="24.75" thickBot="1" x14ac:dyDescent="0.3">
      <c r="C295" s="24" t="s">
        <v>91</v>
      </c>
      <c r="D295" s="26"/>
      <c r="E295" s="25"/>
      <c r="F295" s="25"/>
      <c r="G295" s="25"/>
    </row>
    <row r="296" spans="3:7" ht="24.75" thickBot="1" x14ac:dyDescent="0.3">
      <c r="C296" s="31" t="s">
        <v>121</v>
      </c>
      <c r="D296" s="71">
        <f>D295+D293+D294+D292+D291+D290+D289</f>
        <v>47227.904000000002</v>
      </c>
      <c r="E296" s="71">
        <f>E295+E293+E294+E292+E291+E290+E289</f>
        <v>51053.166547950001</v>
      </c>
      <c r="F296" s="71">
        <f>F295+F293+F294+F292+F291+F290+F289</f>
        <v>58596.001000000004</v>
      </c>
      <c r="G296" s="71">
        <f>G295+G293+G294+G292+G291+G290+G289</f>
        <v>40747.844000000005</v>
      </c>
    </row>
    <row r="297" spans="3:7" ht="15.75" thickBot="1" x14ac:dyDescent="0.3">
      <c r="C297" s="28" t="s">
        <v>93</v>
      </c>
      <c r="D297" s="29">
        <f>IF(D296-D281=0,0,"Error")</f>
        <v>0</v>
      </c>
      <c r="E297" s="29">
        <f t="shared" ref="E297:G297" si="26">IF(E296-E281=0,0,"Error")</f>
        <v>0</v>
      </c>
      <c r="F297" s="29" t="str">
        <f t="shared" si="26"/>
        <v>Error</v>
      </c>
      <c r="G297" s="29" t="str">
        <f t="shared" si="26"/>
        <v>Error</v>
      </c>
    </row>
    <row r="298" spans="3:7" ht="15.75" thickBot="1" x14ac:dyDescent="0.3">
      <c r="C298" s="341" t="s">
        <v>105</v>
      </c>
      <c r="D298" s="342"/>
      <c r="E298" s="342"/>
      <c r="F298" s="342"/>
      <c r="G298" s="343"/>
    </row>
    <row r="299" spans="3:7" ht="15.75" thickBot="1" x14ac:dyDescent="0.3">
      <c r="C299" s="341" t="s">
        <v>106</v>
      </c>
      <c r="D299" s="342"/>
      <c r="E299" s="342"/>
      <c r="F299" s="342"/>
      <c r="G299" s="343"/>
    </row>
    <row r="300" spans="3:7" ht="16.5" customHeight="1" thickBot="1" x14ac:dyDescent="0.3">
      <c r="C300" s="283" t="s">
        <v>260</v>
      </c>
      <c r="D300" s="594" t="s">
        <v>261</v>
      </c>
      <c r="E300" s="595"/>
      <c r="F300" s="595"/>
      <c r="G300" s="596"/>
    </row>
    <row r="301" spans="3:7" ht="16.5" thickBot="1" x14ac:dyDescent="0.3">
      <c r="C301" s="284" t="s">
        <v>598</v>
      </c>
      <c r="D301" s="306" t="s">
        <v>261</v>
      </c>
      <c r="E301" s="307"/>
      <c r="F301" s="307"/>
      <c r="G301" s="308"/>
    </row>
    <row r="302" spans="3:7" ht="16.5" customHeight="1" thickBot="1" x14ac:dyDescent="0.3">
      <c r="C302" s="283" t="s">
        <v>73</v>
      </c>
      <c r="D302" s="312" t="s">
        <v>599</v>
      </c>
      <c r="E302" s="313"/>
      <c r="F302" s="313"/>
      <c r="G302" s="314"/>
    </row>
    <row r="303" spans="3:7" ht="16.5" thickBot="1" x14ac:dyDescent="0.3">
      <c r="C303" s="283" t="s">
        <v>75</v>
      </c>
      <c r="D303" s="306" t="s">
        <v>574</v>
      </c>
      <c r="E303" s="307"/>
      <c r="F303" s="307"/>
      <c r="G303" s="308"/>
    </row>
    <row r="304" spans="3:7" x14ac:dyDescent="0.25">
      <c r="C304" s="350"/>
      <c r="D304" s="20">
        <v>2018</v>
      </c>
      <c r="E304" s="20">
        <v>2019</v>
      </c>
      <c r="F304" s="20">
        <v>2020</v>
      </c>
      <c r="G304" s="20">
        <v>2021</v>
      </c>
    </row>
    <row r="305" spans="3:7" ht="15.75" thickBot="1" x14ac:dyDescent="0.3">
      <c r="C305" s="351"/>
      <c r="D305" s="21" t="s">
        <v>42</v>
      </c>
      <c r="E305" s="21" t="s">
        <v>43</v>
      </c>
      <c r="F305" s="21" t="s">
        <v>43</v>
      </c>
      <c r="G305" s="21" t="s">
        <v>43</v>
      </c>
    </row>
    <row r="306" spans="3:7" ht="15.75" thickBot="1" x14ac:dyDescent="0.3">
      <c r="C306" s="19" t="s">
        <v>77</v>
      </c>
      <c r="D306" s="22">
        <v>20</v>
      </c>
      <c r="E306" s="22">
        <v>30</v>
      </c>
      <c r="F306" s="22">
        <v>35</v>
      </c>
      <c r="G306" s="22">
        <v>40</v>
      </c>
    </row>
    <row r="307" spans="3:7" ht="15.75" thickBot="1" x14ac:dyDescent="0.3">
      <c r="C307" s="19" t="s">
        <v>78</v>
      </c>
      <c r="D307" s="22">
        <f>4000000/1000</f>
        <v>4000</v>
      </c>
      <c r="E307" s="22">
        <f>5000000/1000</f>
        <v>5000</v>
      </c>
      <c r="F307" s="22">
        <f>5500000/1000</f>
        <v>5500</v>
      </c>
      <c r="G307" s="22">
        <f>6500000/1000</f>
        <v>6500</v>
      </c>
    </row>
    <row r="308" spans="3:7" ht="15.75" thickBot="1" x14ac:dyDescent="0.3">
      <c r="C308" s="19" t="s">
        <v>79</v>
      </c>
      <c r="D308" s="22">
        <f>D307/D306</f>
        <v>200</v>
      </c>
      <c r="E308" s="22">
        <f t="shared" ref="E308:G308" si="27">E307/E306</f>
        <v>166.66666666666666</v>
      </c>
      <c r="F308" s="22">
        <f t="shared" si="27"/>
        <v>157.14285714285714</v>
      </c>
      <c r="G308" s="22">
        <f t="shared" si="27"/>
        <v>162.5</v>
      </c>
    </row>
    <row r="309" spans="3:7" ht="15.75" thickBot="1" x14ac:dyDescent="0.3">
      <c r="C309" s="19" t="s">
        <v>80</v>
      </c>
      <c r="D309" s="275" t="s">
        <v>81</v>
      </c>
      <c r="E309" s="13">
        <f>E306/D306-1</f>
        <v>0.5</v>
      </c>
      <c r="F309" s="13">
        <f t="shared" ref="F309:G311" si="28">F306/E306-1</f>
        <v>0.16666666666666674</v>
      </c>
      <c r="G309" s="13">
        <f t="shared" si="28"/>
        <v>0.14285714285714279</v>
      </c>
    </row>
    <row r="310" spans="3:7" ht="15.75" thickBot="1" x14ac:dyDescent="0.3">
      <c r="C310" s="19" t="s">
        <v>82</v>
      </c>
      <c r="D310" s="275" t="s">
        <v>81</v>
      </c>
      <c r="E310" s="13">
        <f>E307/D307-1</f>
        <v>0.25</v>
      </c>
      <c r="F310" s="13">
        <f t="shared" si="28"/>
        <v>0.10000000000000009</v>
      </c>
      <c r="G310" s="13">
        <f t="shared" si="28"/>
        <v>0.18181818181818188</v>
      </c>
    </row>
    <row r="311" spans="3:7" ht="15.75" thickBot="1" x14ac:dyDescent="0.3">
      <c r="C311" s="19" t="s">
        <v>83</v>
      </c>
      <c r="D311" s="275" t="s">
        <v>81</v>
      </c>
      <c r="E311" s="13">
        <f>E308/D308-1</f>
        <v>-0.16666666666666674</v>
      </c>
      <c r="F311" s="13">
        <f t="shared" si="28"/>
        <v>-5.7142857142857162E-2</v>
      </c>
      <c r="G311" s="13">
        <f t="shared" si="28"/>
        <v>3.4090909090909172E-2</v>
      </c>
    </row>
    <row r="312" spans="3:7" ht="15.75" customHeight="1" thickBot="1" x14ac:dyDescent="0.3">
      <c r="C312" s="338" t="s">
        <v>84</v>
      </c>
      <c r="D312" s="339"/>
      <c r="E312" s="339"/>
      <c r="F312" s="339"/>
      <c r="G312" s="340"/>
    </row>
    <row r="313" spans="3:7" x14ac:dyDescent="0.25">
      <c r="C313" s="350"/>
      <c r="D313" s="20">
        <v>2018</v>
      </c>
      <c r="E313" s="20">
        <v>2019</v>
      </c>
      <c r="F313" s="20">
        <v>2020</v>
      </c>
      <c r="G313" s="20">
        <v>2021</v>
      </c>
    </row>
    <row r="314" spans="3:7" ht="15.75" thickBot="1" x14ac:dyDescent="0.3">
      <c r="C314" s="351"/>
      <c r="D314" s="21" t="s">
        <v>42</v>
      </c>
      <c r="E314" s="21" t="s">
        <v>43</v>
      </c>
      <c r="F314" s="21" t="s">
        <v>43</v>
      </c>
      <c r="G314" s="21" t="s">
        <v>43</v>
      </c>
    </row>
    <row r="315" spans="3:7" ht="15.75" thickBot="1" x14ac:dyDescent="0.3">
      <c r="C315" s="24" t="s">
        <v>170</v>
      </c>
      <c r="D315" s="25"/>
      <c r="E315" s="25"/>
      <c r="F315" s="25"/>
      <c r="G315" s="25"/>
    </row>
    <row r="316" spans="3:7" ht="15.75" thickBot="1" x14ac:dyDescent="0.3">
      <c r="C316" s="24" t="s">
        <v>113</v>
      </c>
      <c r="D316" s="22">
        <f>4000000/1000</f>
        <v>4000</v>
      </c>
      <c r="E316" s="22">
        <f>5000000/1000</f>
        <v>5000</v>
      </c>
      <c r="F316" s="22">
        <f>5500000/1000</f>
        <v>5500</v>
      </c>
      <c r="G316" s="22">
        <f>6500000/1000</f>
        <v>6500</v>
      </c>
    </row>
    <row r="317" spans="3:7" ht="15.75" thickBot="1" x14ac:dyDescent="0.3">
      <c r="C317" s="27" t="s">
        <v>92</v>
      </c>
      <c r="D317" s="26">
        <f>D316+D315</f>
        <v>4000</v>
      </c>
      <c r="E317" s="26">
        <f t="shared" ref="E317:G317" si="29">E316+E315</f>
        <v>5000</v>
      </c>
      <c r="F317" s="26">
        <f t="shared" si="29"/>
        <v>5500</v>
      </c>
      <c r="G317" s="26">
        <f t="shared" si="29"/>
        <v>6500</v>
      </c>
    </row>
    <row r="318" spans="3:7" ht="15.75" thickBot="1" x14ac:dyDescent="0.3">
      <c r="C318" s="30" t="s">
        <v>260</v>
      </c>
      <c r="D318" s="352" t="s">
        <v>108</v>
      </c>
      <c r="E318" s="353"/>
      <c r="F318" s="353"/>
      <c r="G318" s="354"/>
    </row>
    <row r="319" spans="3:7" ht="23.25" thickBot="1" x14ac:dyDescent="0.3">
      <c r="C319" s="18" t="s">
        <v>376</v>
      </c>
      <c r="D319" s="344" t="s">
        <v>375</v>
      </c>
      <c r="E319" s="345"/>
      <c r="F319" s="345"/>
      <c r="G319" s="346"/>
    </row>
    <row r="320" spans="3:7" ht="15.75" thickBot="1" x14ac:dyDescent="0.3">
      <c r="C320" s="19" t="s">
        <v>73</v>
      </c>
      <c r="D320" s="335" t="s">
        <v>375</v>
      </c>
      <c r="E320" s="336"/>
      <c r="F320" s="336"/>
      <c r="G320" s="337"/>
    </row>
    <row r="321" spans="3:7" ht="15.75" thickBot="1" x14ac:dyDescent="0.3">
      <c r="C321" s="19" t="s">
        <v>75</v>
      </c>
      <c r="D321" s="347" t="s">
        <v>375</v>
      </c>
      <c r="E321" s="348"/>
      <c r="F321" s="348"/>
      <c r="G321" s="349"/>
    </row>
    <row r="322" spans="3:7" x14ac:dyDescent="0.25">
      <c r="C322" s="350"/>
      <c r="D322" s="20">
        <v>2018</v>
      </c>
      <c r="E322" s="20">
        <v>2019</v>
      </c>
      <c r="F322" s="20">
        <v>2020</v>
      </c>
      <c r="G322" s="20">
        <v>2021</v>
      </c>
    </row>
    <row r="323" spans="3:7" ht="15.75" thickBot="1" x14ac:dyDescent="0.3">
      <c r="C323" s="351"/>
      <c r="D323" s="21" t="s">
        <v>42</v>
      </c>
      <c r="E323" s="21" t="s">
        <v>43</v>
      </c>
      <c r="F323" s="21" t="s">
        <v>43</v>
      </c>
      <c r="G323" s="21" t="s">
        <v>43</v>
      </c>
    </row>
    <row r="324" spans="3:7" ht="15.75" thickBot="1" x14ac:dyDescent="0.3">
      <c r="C324" s="19" t="s">
        <v>77</v>
      </c>
      <c r="D324" s="22"/>
      <c r="E324" s="22"/>
      <c r="F324" s="22"/>
      <c r="G324" s="22"/>
    </row>
    <row r="325" spans="3:7" ht="15.75" thickBot="1" x14ac:dyDescent="0.3">
      <c r="C325" s="19" t="s">
        <v>78</v>
      </c>
      <c r="D325" s="22"/>
      <c r="E325" s="22"/>
      <c r="F325" s="22"/>
      <c r="G325" s="22"/>
    </row>
    <row r="326" spans="3:7" ht="15.75" thickBot="1" x14ac:dyDescent="0.3">
      <c r="C326" s="19" t="s">
        <v>79</v>
      </c>
      <c r="D326" s="22" t="e">
        <f>D325/D324</f>
        <v>#DIV/0!</v>
      </c>
      <c r="E326" s="22" t="e">
        <f t="shared" ref="E326:G326" si="30">E325/E324</f>
        <v>#DIV/0!</v>
      </c>
      <c r="F326" s="22" t="e">
        <f t="shared" si="30"/>
        <v>#DIV/0!</v>
      </c>
      <c r="G326" s="22" t="e">
        <f t="shared" si="30"/>
        <v>#DIV/0!</v>
      </c>
    </row>
    <row r="327" spans="3:7" ht="15.75" thickBot="1" x14ac:dyDescent="0.3">
      <c r="C327" s="19" t="s">
        <v>80</v>
      </c>
      <c r="D327" s="275" t="s">
        <v>81</v>
      </c>
      <c r="E327" s="13" t="e">
        <f>E324/D324-1</f>
        <v>#DIV/0!</v>
      </c>
      <c r="F327" s="13" t="e">
        <f t="shared" ref="F327:G329" si="31">F324/E324-1</f>
        <v>#DIV/0!</v>
      </c>
      <c r="G327" s="13" t="e">
        <f t="shared" si="31"/>
        <v>#DIV/0!</v>
      </c>
    </row>
    <row r="328" spans="3:7" ht="15.75" thickBot="1" x14ac:dyDescent="0.3">
      <c r="C328" s="19" t="s">
        <v>82</v>
      </c>
      <c r="D328" s="275" t="s">
        <v>81</v>
      </c>
      <c r="E328" s="13" t="e">
        <f>E325/D325-1</f>
        <v>#DIV/0!</v>
      </c>
      <c r="F328" s="13" t="e">
        <f t="shared" si="31"/>
        <v>#DIV/0!</v>
      </c>
      <c r="G328" s="13" t="e">
        <f t="shared" si="31"/>
        <v>#DIV/0!</v>
      </c>
    </row>
    <row r="329" spans="3:7" ht="15.75" thickBot="1" x14ac:dyDescent="0.3">
      <c r="C329" s="19" t="s">
        <v>83</v>
      </c>
      <c r="D329" s="275" t="s">
        <v>81</v>
      </c>
      <c r="E329" s="13" t="e">
        <f>E326/D326-1</f>
        <v>#DIV/0!</v>
      </c>
      <c r="F329" s="13" t="e">
        <f t="shared" si="31"/>
        <v>#DIV/0!</v>
      </c>
      <c r="G329" s="13" t="e">
        <f t="shared" si="31"/>
        <v>#DIV/0!</v>
      </c>
    </row>
    <row r="330" spans="3:7" ht="15.75" customHeight="1" thickBot="1" x14ac:dyDescent="0.3">
      <c r="C330" s="338" t="s">
        <v>377</v>
      </c>
      <c r="D330" s="339"/>
      <c r="E330" s="339"/>
      <c r="F330" s="339"/>
      <c r="G330" s="340"/>
    </row>
    <row r="331" spans="3:7" x14ac:dyDescent="0.25">
      <c r="C331" s="350"/>
      <c r="D331" s="20">
        <v>2018</v>
      </c>
      <c r="E331" s="20">
        <v>2019</v>
      </c>
      <c r="F331" s="20">
        <v>2020</v>
      </c>
      <c r="G331" s="20">
        <v>2021</v>
      </c>
    </row>
    <row r="332" spans="3:7" ht="15.75" thickBot="1" x14ac:dyDescent="0.3">
      <c r="C332" s="351"/>
      <c r="D332" s="21" t="s">
        <v>42</v>
      </c>
      <c r="E332" s="21" t="s">
        <v>43</v>
      </c>
      <c r="F332" s="21" t="s">
        <v>43</v>
      </c>
      <c r="G332" s="21" t="s">
        <v>43</v>
      </c>
    </row>
    <row r="333" spans="3:7" ht="15.75" thickBot="1" x14ac:dyDescent="0.3">
      <c r="C333" s="24" t="s">
        <v>170</v>
      </c>
      <c r="D333" s="25"/>
      <c r="E333" s="25"/>
      <c r="F333" s="25"/>
      <c r="G333" s="25"/>
    </row>
    <row r="334" spans="3:7" ht="15.75" thickBot="1" x14ac:dyDescent="0.3">
      <c r="C334" s="24" t="s">
        <v>113</v>
      </c>
      <c r="D334" s="26"/>
      <c r="E334" s="25"/>
      <c r="F334" s="25"/>
      <c r="G334" s="25"/>
    </row>
    <row r="335" spans="3:7" ht="15.75" thickBot="1" x14ac:dyDescent="0.3">
      <c r="C335" s="27" t="s">
        <v>177</v>
      </c>
      <c r="D335" s="26">
        <f>D334+D333</f>
        <v>0</v>
      </c>
      <c r="E335" s="26">
        <f t="shared" ref="E335:G335" si="32">E334+E333</f>
        <v>0</v>
      </c>
      <c r="F335" s="26">
        <f t="shared" si="32"/>
        <v>0</v>
      </c>
      <c r="G335" s="26">
        <f t="shared" si="32"/>
        <v>0</v>
      </c>
    </row>
    <row r="336" spans="3:7" ht="15.75" thickBot="1" x14ac:dyDescent="0.3">
      <c r="C336" s="341" t="s">
        <v>105</v>
      </c>
      <c r="D336" s="342"/>
      <c r="E336" s="342"/>
      <c r="F336" s="342"/>
      <c r="G336" s="343"/>
    </row>
    <row r="337" spans="3:7" ht="15.75" thickBot="1" x14ac:dyDescent="0.3">
      <c r="C337" s="341" t="s">
        <v>171</v>
      </c>
      <c r="D337" s="342"/>
      <c r="E337" s="342"/>
      <c r="F337" s="342"/>
      <c r="G337" s="343"/>
    </row>
    <row r="338" spans="3:7" ht="15.75" thickBot="1" x14ac:dyDescent="0.3">
      <c r="C338" s="189" t="s">
        <v>260</v>
      </c>
      <c r="D338" s="597" t="s">
        <v>108</v>
      </c>
      <c r="E338" s="598"/>
      <c r="F338" s="598"/>
      <c r="G338" s="599"/>
    </row>
    <row r="339" spans="3:7" ht="23.25" customHeight="1" thickBot="1" x14ac:dyDescent="0.3">
      <c r="C339" s="285" t="s">
        <v>598</v>
      </c>
      <c r="D339" s="473" t="s">
        <v>600</v>
      </c>
      <c r="E339" s="474"/>
      <c r="F339" s="474"/>
      <c r="G339" s="475"/>
    </row>
    <row r="340" spans="3:7" ht="25.5" customHeight="1" thickBot="1" x14ac:dyDescent="0.3">
      <c r="C340" s="189" t="s">
        <v>73</v>
      </c>
      <c r="D340" s="567" t="s">
        <v>601</v>
      </c>
      <c r="E340" s="568"/>
      <c r="F340" s="568"/>
      <c r="G340" s="569"/>
    </row>
    <row r="341" spans="3:7" ht="15.75" thickBot="1" x14ac:dyDescent="0.3">
      <c r="C341" s="189" t="s">
        <v>75</v>
      </c>
      <c r="D341" s="473" t="s">
        <v>602</v>
      </c>
      <c r="E341" s="474"/>
      <c r="F341" s="474"/>
      <c r="G341" s="475"/>
    </row>
    <row r="342" spans="3:7" x14ac:dyDescent="0.25">
      <c r="C342" s="350"/>
      <c r="D342" s="20">
        <v>2018</v>
      </c>
      <c r="E342" s="20">
        <v>2019</v>
      </c>
      <c r="F342" s="20">
        <v>2020</v>
      </c>
      <c r="G342" s="20">
        <v>2021</v>
      </c>
    </row>
    <row r="343" spans="3:7" ht="15.75" thickBot="1" x14ac:dyDescent="0.3">
      <c r="C343" s="351"/>
      <c r="D343" s="21" t="s">
        <v>42</v>
      </c>
      <c r="E343" s="21" t="s">
        <v>43</v>
      </c>
      <c r="F343" s="21" t="s">
        <v>43</v>
      </c>
      <c r="G343" s="21" t="s">
        <v>43</v>
      </c>
    </row>
    <row r="344" spans="3:7" ht="15.75" thickBot="1" x14ac:dyDescent="0.3">
      <c r="C344" s="19" t="s">
        <v>77</v>
      </c>
      <c r="D344" s="22">
        <v>10</v>
      </c>
      <c r="E344" s="190">
        <v>10</v>
      </c>
      <c r="F344" s="22">
        <v>8</v>
      </c>
      <c r="G344" s="22">
        <v>6</v>
      </c>
    </row>
    <row r="345" spans="3:7" ht="15.75" thickBot="1" x14ac:dyDescent="0.3">
      <c r="C345" s="19" t="s">
        <v>78</v>
      </c>
      <c r="D345" s="22">
        <f>480200000/1000</f>
        <v>480200</v>
      </c>
      <c r="E345" s="25">
        <f>515700000/1000</f>
        <v>515700</v>
      </c>
      <c r="F345" s="22">
        <f>397969000/1000</f>
        <v>397969</v>
      </c>
      <c r="G345" s="22">
        <f>291969000/1000</f>
        <v>291969</v>
      </c>
    </row>
    <row r="346" spans="3:7" ht="15.75" thickBot="1" x14ac:dyDescent="0.3">
      <c r="C346" s="19" t="s">
        <v>79</v>
      </c>
      <c r="D346" s="22">
        <f>D345/D344</f>
        <v>48020</v>
      </c>
      <c r="E346" s="22">
        <f t="shared" ref="E346:G346" si="33">E345/E344</f>
        <v>51570</v>
      </c>
      <c r="F346" s="22">
        <f t="shared" si="33"/>
        <v>49746.125</v>
      </c>
      <c r="G346" s="22">
        <f t="shared" si="33"/>
        <v>48661.5</v>
      </c>
    </row>
    <row r="347" spans="3:7" ht="15.75" thickBot="1" x14ac:dyDescent="0.3">
      <c r="C347" s="19" t="s">
        <v>80</v>
      </c>
      <c r="D347" s="275" t="s">
        <v>81</v>
      </c>
      <c r="E347" s="13">
        <f>E344/D344-1</f>
        <v>0</v>
      </c>
      <c r="F347" s="13">
        <f t="shared" ref="F347:G349" si="34">F344/E344-1</f>
        <v>-0.19999999999999996</v>
      </c>
      <c r="G347" s="13">
        <f t="shared" si="34"/>
        <v>-0.25</v>
      </c>
    </row>
    <row r="348" spans="3:7" ht="15.75" thickBot="1" x14ac:dyDescent="0.3">
      <c r="C348" s="19" t="s">
        <v>82</v>
      </c>
      <c r="D348" s="275" t="s">
        <v>81</v>
      </c>
      <c r="E348" s="13">
        <f>E345/D345-1</f>
        <v>7.3927530195751823E-2</v>
      </c>
      <c r="F348" s="13">
        <f t="shared" si="34"/>
        <v>-0.22829358153965484</v>
      </c>
      <c r="G348" s="13">
        <f t="shared" si="34"/>
        <v>-0.26635240433300078</v>
      </c>
    </row>
    <row r="349" spans="3:7" ht="15.75" thickBot="1" x14ac:dyDescent="0.3">
      <c r="C349" s="19" t="s">
        <v>83</v>
      </c>
      <c r="D349" s="275" t="s">
        <v>81</v>
      </c>
      <c r="E349" s="13">
        <f>E346/D346-1</f>
        <v>7.3927530195751823E-2</v>
      </c>
      <c r="F349" s="13">
        <f t="shared" si="34"/>
        <v>-3.5366976924568583E-2</v>
      </c>
      <c r="G349" s="13">
        <f t="shared" si="34"/>
        <v>-2.1803205777334411E-2</v>
      </c>
    </row>
    <row r="350" spans="3:7" ht="15.75" customHeight="1" thickBot="1" x14ac:dyDescent="0.3">
      <c r="C350" s="338" t="s">
        <v>84</v>
      </c>
      <c r="D350" s="339"/>
      <c r="E350" s="339"/>
      <c r="F350" s="339"/>
      <c r="G350" s="340"/>
    </row>
    <row r="351" spans="3:7" x14ac:dyDescent="0.25">
      <c r="C351" s="350"/>
      <c r="D351" s="20">
        <v>2018</v>
      </c>
      <c r="E351" s="20">
        <v>2019</v>
      </c>
      <c r="F351" s="20">
        <v>2020</v>
      </c>
      <c r="G351" s="20">
        <v>2021</v>
      </c>
    </row>
    <row r="352" spans="3:7" ht="15.75" thickBot="1" x14ac:dyDescent="0.3">
      <c r="C352" s="351"/>
      <c r="D352" s="21" t="s">
        <v>42</v>
      </c>
      <c r="E352" s="21" t="s">
        <v>43</v>
      </c>
      <c r="F352" s="21" t="s">
        <v>43</v>
      </c>
      <c r="G352" s="21" t="s">
        <v>43</v>
      </c>
    </row>
    <row r="353" spans="3:7" ht="15.75" thickBot="1" x14ac:dyDescent="0.3">
      <c r="C353" s="69" t="s">
        <v>170</v>
      </c>
      <c r="D353" s="25"/>
      <c r="E353" s="25"/>
      <c r="F353" s="25"/>
      <c r="G353" s="25"/>
    </row>
    <row r="354" spans="3:7" ht="15.75" thickBot="1" x14ac:dyDescent="0.3">
      <c r="C354" s="191" t="s">
        <v>113</v>
      </c>
      <c r="D354" s="22">
        <f>480200000/1000</f>
        <v>480200</v>
      </c>
      <c r="E354" s="25">
        <f>515700000/1000</f>
        <v>515700</v>
      </c>
      <c r="F354" s="22">
        <f>397969000/1000</f>
        <v>397969</v>
      </c>
      <c r="G354" s="22">
        <f>291969000/1000</f>
        <v>291969</v>
      </c>
    </row>
    <row r="355" spans="3:7" ht="15.75" thickBot="1" x14ac:dyDescent="0.3">
      <c r="C355" s="111" t="s">
        <v>92</v>
      </c>
      <c r="D355" s="26">
        <f>D354+D353</f>
        <v>480200</v>
      </c>
      <c r="E355" s="26">
        <f t="shared" ref="E355:F355" si="35">E354+E353</f>
        <v>515700</v>
      </c>
      <c r="F355" s="26">
        <f t="shared" si="35"/>
        <v>397969</v>
      </c>
      <c r="G355" s="26">
        <f>G354+G353</f>
        <v>291969</v>
      </c>
    </row>
    <row r="356" spans="3:7" ht="15.75" thickBot="1" x14ac:dyDescent="0.3">
      <c r="C356" s="119" t="s">
        <v>260</v>
      </c>
      <c r="D356" s="597" t="s">
        <v>108</v>
      </c>
      <c r="E356" s="598"/>
      <c r="F356" s="598"/>
      <c r="G356" s="599"/>
    </row>
    <row r="357" spans="3:7" ht="15" customHeight="1" thickBot="1" x14ac:dyDescent="0.3">
      <c r="C357" s="18" t="s">
        <v>376</v>
      </c>
      <c r="D357" s="473" t="s">
        <v>603</v>
      </c>
      <c r="E357" s="474"/>
      <c r="F357" s="474"/>
      <c r="G357" s="475"/>
    </row>
    <row r="358" spans="3:7" ht="24" customHeight="1" thickBot="1" x14ac:dyDescent="0.3">
      <c r="C358" s="19" t="s">
        <v>73</v>
      </c>
      <c r="D358" s="567" t="s">
        <v>604</v>
      </c>
      <c r="E358" s="568"/>
      <c r="F358" s="568"/>
      <c r="G358" s="569"/>
    </row>
    <row r="359" spans="3:7" ht="15.75" thickBot="1" x14ac:dyDescent="0.3">
      <c r="C359" s="19" t="s">
        <v>75</v>
      </c>
      <c r="D359" s="473" t="s">
        <v>589</v>
      </c>
      <c r="E359" s="474"/>
      <c r="F359" s="474"/>
      <c r="G359" s="475"/>
    </row>
    <row r="360" spans="3:7" x14ac:dyDescent="0.25">
      <c r="C360" s="350"/>
      <c r="D360" s="20">
        <v>2018</v>
      </c>
      <c r="E360" s="20">
        <v>2019</v>
      </c>
      <c r="F360" s="20">
        <v>2020</v>
      </c>
      <c r="G360" s="20">
        <v>2021</v>
      </c>
    </row>
    <row r="361" spans="3:7" ht="15.75" thickBot="1" x14ac:dyDescent="0.3">
      <c r="C361" s="351"/>
      <c r="D361" s="21" t="s">
        <v>42</v>
      </c>
      <c r="E361" s="21" t="s">
        <v>43</v>
      </c>
      <c r="F361" s="21" t="s">
        <v>43</v>
      </c>
      <c r="G361" s="21" t="s">
        <v>43</v>
      </c>
    </row>
    <row r="362" spans="3:7" ht="15.75" thickBot="1" x14ac:dyDescent="0.3">
      <c r="C362" s="19" t="s">
        <v>77</v>
      </c>
      <c r="D362" s="22">
        <v>0</v>
      </c>
      <c r="E362" s="22">
        <v>35</v>
      </c>
      <c r="F362" s="22">
        <v>38</v>
      </c>
      <c r="G362" s="22">
        <v>40</v>
      </c>
    </row>
    <row r="363" spans="3:7" ht="15.75" thickBot="1" x14ac:dyDescent="0.3">
      <c r="C363" s="19" t="s">
        <v>78</v>
      </c>
      <c r="D363" s="22">
        <v>0</v>
      </c>
      <c r="E363" s="22">
        <f>150000000/1000</f>
        <v>150000</v>
      </c>
      <c r="F363" s="22">
        <f>160000000/1000</f>
        <v>160000</v>
      </c>
      <c r="G363" s="22">
        <f>170000000/1000</f>
        <v>170000</v>
      </c>
    </row>
    <row r="364" spans="3:7" ht="15.75" thickBot="1" x14ac:dyDescent="0.3">
      <c r="C364" s="19" t="s">
        <v>79</v>
      </c>
      <c r="D364" s="22" t="e">
        <f>D363/D362</f>
        <v>#DIV/0!</v>
      </c>
      <c r="E364" s="22">
        <f t="shared" ref="E364:G364" si="36">E363/E362</f>
        <v>4285.7142857142853</v>
      </c>
      <c r="F364" s="22">
        <f t="shared" si="36"/>
        <v>4210.5263157894733</v>
      </c>
      <c r="G364" s="22">
        <f t="shared" si="36"/>
        <v>4250</v>
      </c>
    </row>
    <row r="365" spans="3:7" ht="15.75" thickBot="1" x14ac:dyDescent="0.3">
      <c r="C365" s="19" t="s">
        <v>80</v>
      </c>
      <c r="D365" s="275" t="s">
        <v>81</v>
      </c>
      <c r="E365" s="13" t="e">
        <f>E362/D362-1</f>
        <v>#DIV/0!</v>
      </c>
      <c r="F365" s="13">
        <f t="shared" ref="F365:G367" si="37">F362/E362-1</f>
        <v>8.5714285714285632E-2</v>
      </c>
      <c r="G365" s="13">
        <f t="shared" si="37"/>
        <v>5.2631578947368363E-2</v>
      </c>
    </row>
    <row r="366" spans="3:7" ht="15.75" thickBot="1" x14ac:dyDescent="0.3">
      <c r="C366" s="19" t="s">
        <v>82</v>
      </c>
      <c r="D366" s="275" t="s">
        <v>81</v>
      </c>
      <c r="E366" s="13" t="e">
        <f>E363/D363-1</f>
        <v>#DIV/0!</v>
      </c>
      <c r="F366" s="13">
        <f t="shared" si="37"/>
        <v>6.6666666666666652E-2</v>
      </c>
      <c r="G366" s="13">
        <f t="shared" si="37"/>
        <v>6.25E-2</v>
      </c>
    </row>
    <row r="367" spans="3:7" ht="15.75" thickBot="1" x14ac:dyDescent="0.3">
      <c r="C367" s="19" t="s">
        <v>83</v>
      </c>
      <c r="D367" s="275" t="s">
        <v>81</v>
      </c>
      <c r="E367" s="13" t="e">
        <f>E364/D364-1</f>
        <v>#DIV/0!</v>
      </c>
      <c r="F367" s="13">
        <f t="shared" si="37"/>
        <v>-1.7543859649122862E-2</v>
      </c>
      <c r="G367" s="13">
        <f t="shared" si="37"/>
        <v>9.3750000000001332E-3</v>
      </c>
    </row>
    <row r="368" spans="3:7" ht="15.75" customHeight="1" thickBot="1" x14ac:dyDescent="0.3">
      <c r="C368" s="338" t="s">
        <v>377</v>
      </c>
      <c r="D368" s="339"/>
      <c r="E368" s="339"/>
      <c r="F368" s="339"/>
      <c r="G368" s="340"/>
    </row>
    <row r="369" spans="3:8" x14ac:dyDescent="0.25">
      <c r="C369" s="350"/>
      <c r="D369" s="20">
        <v>2018</v>
      </c>
      <c r="E369" s="20">
        <v>2019</v>
      </c>
      <c r="F369" s="20">
        <v>2020</v>
      </c>
      <c r="G369" s="20">
        <v>2021</v>
      </c>
    </row>
    <row r="370" spans="3:8" ht="15.75" thickBot="1" x14ac:dyDescent="0.3">
      <c r="C370" s="351"/>
      <c r="D370" s="21" t="s">
        <v>42</v>
      </c>
      <c r="E370" s="21" t="s">
        <v>43</v>
      </c>
      <c r="F370" s="21" t="s">
        <v>43</v>
      </c>
      <c r="G370" s="21" t="s">
        <v>43</v>
      </c>
    </row>
    <row r="371" spans="3:8" ht="15.75" thickBot="1" x14ac:dyDescent="0.3">
      <c r="C371" s="24" t="s">
        <v>170</v>
      </c>
      <c r="D371" s="25"/>
      <c r="E371" s="25"/>
      <c r="F371" s="25"/>
      <c r="G371" s="25"/>
    </row>
    <row r="372" spans="3:8" ht="15.75" thickBot="1" x14ac:dyDescent="0.3">
      <c r="C372" s="24" t="s">
        <v>113</v>
      </c>
      <c r="D372" s="26"/>
      <c r="E372" s="22">
        <f>150000000/1000</f>
        <v>150000</v>
      </c>
      <c r="F372" s="22">
        <f>160000000/1000</f>
        <v>160000</v>
      </c>
      <c r="G372" s="22">
        <f>170000000/1000</f>
        <v>170000</v>
      </c>
    </row>
    <row r="373" spans="3:8" ht="15.75" thickBot="1" x14ac:dyDescent="0.3">
      <c r="C373" s="27" t="s">
        <v>177</v>
      </c>
      <c r="D373" s="26">
        <f>D372+D371</f>
        <v>0</v>
      </c>
      <c r="E373" s="26">
        <f t="shared" ref="E373:G373" si="38">E372+E371</f>
        <v>150000</v>
      </c>
      <c r="F373" s="26">
        <f t="shared" si="38"/>
        <v>160000</v>
      </c>
      <c r="G373" s="26">
        <f t="shared" si="38"/>
        <v>170000</v>
      </c>
    </row>
    <row r="374" spans="3:8" ht="15.75" thickBot="1" x14ac:dyDescent="0.3">
      <c r="C374" s="33"/>
      <c r="D374" s="34"/>
      <c r="E374" s="34"/>
      <c r="F374" s="34"/>
      <c r="G374" s="34"/>
    </row>
    <row r="375" spans="3:8" ht="24.75" thickBot="1" x14ac:dyDescent="0.3">
      <c r="C375" s="51" t="s">
        <v>122</v>
      </c>
      <c r="D375" s="78">
        <f>D28+D51+D74+D187+D212+D235+D258+D281+D100+D363+D345+D307</f>
        <v>2204799.9998209998</v>
      </c>
      <c r="E375" s="78">
        <f>SUM(E28+E51+E74+E100+E187+E212+E235+E258+E281+E307+E345+E363)</f>
        <v>2670700.0002729502</v>
      </c>
      <c r="F375" s="78">
        <f>SUM(F28+F51+F74+F100+F187+F212+F235+F258+F281+F307+F345+F363)</f>
        <v>2678468.99969</v>
      </c>
      <c r="G375" s="78">
        <f>SUM(G28+G51+G74+G100+G187+G212+G235+G258+G281+G307+G345+G363)</f>
        <v>2628469.0001999997</v>
      </c>
    </row>
    <row r="376" spans="3:8" ht="24.75" thickBot="1" x14ac:dyDescent="0.3">
      <c r="C376" s="51" t="s">
        <v>123</v>
      </c>
      <c r="D376" s="78">
        <f>D378+D380+D382+D384+D386+D388+D390+D392+D394</f>
        <v>2204799.2416209998</v>
      </c>
      <c r="E376" s="78">
        <f>SUM(E43+E67+E89+E110+E204+E227+E250+E273+E296+E317+E355+E373)</f>
        <v>2670700.0002729502</v>
      </c>
      <c r="F376" s="78">
        <f>SUM(F43+F67+F89+F110+F204+F227+F250+F273+F296+F317+F355+F373)</f>
        <v>2678468.99969</v>
      </c>
      <c r="G376" s="78">
        <f>SUM(G43+G67+G89+G110+G204+G227+G250+G273+G296+G317+G355+G373)</f>
        <v>2628469.0001999997</v>
      </c>
      <c r="H376" s="286"/>
    </row>
    <row r="377" spans="3:8" ht="24.75" thickBot="1" x14ac:dyDescent="0.3">
      <c r="C377" s="79" t="s">
        <v>124</v>
      </c>
      <c r="D377" s="80"/>
      <c r="E377" s="81">
        <f>E376/D376-1</f>
        <v>0.21131210037491366</v>
      </c>
      <c r="F377" s="81">
        <f t="shared" ref="F377:G377" si="39">F376/E376-1</f>
        <v>2.9089749564743528E-3</v>
      </c>
      <c r="G377" s="81">
        <f t="shared" si="39"/>
        <v>-1.8667380319050575E-2</v>
      </c>
    </row>
    <row r="378" spans="3:8" ht="15.75" thickBot="1" x14ac:dyDescent="0.3">
      <c r="C378" s="24" t="s">
        <v>85</v>
      </c>
      <c r="D378" s="25">
        <f>D220+D197+D82+D36+D60+D243+D289+D266</f>
        <v>1061000</v>
      </c>
      <c r="E378" s="25">
        <f>E36+E60+E197+E220+E243+E266+E289</f>
        <v>1194820.06085</v>
      </c>
      <c r="F378" s="25">
        <f>F36+F60+F197+F220+F243+F266+F289</f>
        <v>1255560.3429999999</v>
      </c>
      <c r="G378" s="25">
        <f>G36+G60+G197+G220+G243+G266+G289</f>
        <v>1318263.2285499999</v>
      </c>
    </row>
    <row r="379" spans="3:8" ht="15.75" thickBot="1" x14ac:dyDescent="0.3">
      <c r="C379" s="82" t="s">
        <v>125</v>
      </c>
      <c r="D379" s="26"/>
      <c r="E379" s="83">
        <f>E378/D378-1</f>
        <v>0.12612635329877464</v>
      </c>
      <c r="F379" s="83">
        <f t="shared" ref="F379:G379" si="40">F378/E378-1</f>
        <v>5.0836342760087971E-2</v>
      </c>
      <c r="G379" s="83">
        <f t="shared" si="40"/>
        <v>4.9940160900733499E-2</v>
      </c>
    </row>
    <row r="380" spans="3:8" ht="24.75" thickBot="1" x14ac:dyDescent="0.3">
      <c r="C380" s="24" t="s">
        <v>86</v>
      </c>
      <c r="D380" s="25">
        <f>D37+D61+D198+D221+D267+D290</f>
        <v>178599.24162099999</v>
      </c>
      <c r="E380" s="25">
        <f>E37+E61+E198+E221+E267+E290</f>
        <v>198615.88219794998</v>
      </c>
      <c r="F380" s="25">
        <f>F37+F61+F198+F221+F267+F290</f>
        <v>208792.55449999997</v>
      </c>
      <c r="G380" s="25">
        <v>219974647.73999998</v>
      </c>
    </row>
    <row r="381" spans="3:8" ht="24.75" thickBot="1" x14ac:dyDescent="0.3">
      <c r="C381" s="82" t="s">
        <v>126</v>
      </c>
      <c r="D381" s="26"/>
      <c r="E381" s="83">
        <f>E380/D380-1</f>
        <v>0.11207573109087821</v>
      </c>
      <c r="F381" s="83">
        <f t="shared" ref="F381:G381" si="41">F380/E380-1</f>
        <v>5.1237958361796343E-2</v>
      </c>
      <c r="G381" s="83">
        <f t="shared" si="41"/>
        <v>1052.5559961262891</v>
      </c>
    </row>
    <row r="382" spans="3:8" ht="15.75" thickBot="1" x14ac:dyDescent="0.3">
      <c r="C382" s="24" t="s">
        <v>87</v>
      </c>
      <c r="D382" s="25">
        <f>D38+D199+D222+D245+D268+D291</f>
        <v>223000</v>
      </c>
      <c r="E382" s="25">
        <f>E38+E199+E222+E245+E268+E291</f>
        <v>317461.37</v>
      </c>
      <c r="F382" s="25">
        <f>F38+F199+F222+F245+F268+F291</f>
        <v>344682.08100000006</v>
      </c>
      <c r="G382" s="25">
        <f>G38+G199+G222+G245+G268+G291</f>
        <v>318562.12390999997</v>
      </c>
    </row>
    <row r="383" spans="3:8" ht="24.75" thickBot="1" x14ac:dyDescent="0.3">
      <c r="C383" s="82" t="s">
        <v>127</v>
      </c>
      <c r="D383" s="26"/>
      <c r="E383" s="83">
        <f>E382/D382-1</f>
        <v>0.42359358744394626</v>
      </c>
      <c r="F383" s="83">
        <f t="shared" ref="F383:G383" si="42">F382/E382-1</f>
        <v>8.5744955362600628E-2</v>
      </c>
      <c r="G383" s="83">
        <f t="shared" si="42"/>
        <v>-7.5779852013833304E-2</v>
      </c>
    </row>
    <row r="384" spans="3:8" ht="15.75" thickBot="1" x14ac:dyDescent="0.3">
      <c r="C384" s="24" t="s">
        <v>88</v>
      </c>
      <c r="D384" s="25">
        <f>D223+D200+D85+D39</f>
        <v>0</v>
      </c>
      <c r="E384" s="25">
        <f>E223+E200+E85+E39</f>
        <v>0</v>
      </c>
      <c r="F384" s="25">
        <f>F223+F200+F85+F39</f>
        <v>0</v>
      </c>
      <c r="G384" s="25">
        <f>G223+G200+G85+G39</f>
        <v>0</v>
      </c>
    </row>
    <row r="385" spans="3:7" ht="15.75" thickBot="1" x14ac:dyDescent="0.3">
      <c r="C385" s="82" t="s">
        <v>231</v>
      </c>
      <c r="D385" s="26"/>
      <c r="E385" s="83" t="e">
        <f>E384/D384-1</f>
        <v>#DIV/0!</v>
      </c>
      <c r="F385" s="83" t="e">
        <f t="shared" ref="F385:G385" si="43">F384/E384-1</f>
        <v>#DIV/0!</v>
      </c>
      <c r="G385" s="83" t="e">
        <f t="shared" si="43"/>
        <v>#DIV/0!</v>
      </c>
    </row>
    <row r="386" spans="3:7" ht="15.75" thickBot="1" x14ac:dyDescent="0.3">
      <c r="C386" s="24" t="s">
        <v>89</v>
      </c>
      <c r="D386" s="25">
        <f>D224+D201+D86+D40</f>
        <v>0</v>
      </c>
      <c r="E386" s="25">
        <f>E224+E201+E86+E40</f>
        <v>0</v>
      </c>
      <c r="F386" s="25">
        <f>F224+F201+F86+F40</f>
        <v>0</v>
      </c>
      <c r="G386" s="25">
        <f>G224+G201+G86+G40</f>
        <v>0</v>
      </c>
    </row>
    <row r="387" spans="3:7" ht="24.75" thickBot="1" x14ac:dyDescent="0.3">
      <c r="C387" s="82" t="s">
        <v>232</v>
      </c>
      <c r="D387" s="26"/>
      <c r="E387" s="83" t="e">
        <f>E386/D386-1</f>
        <v>#DIV/0!</v>
      </c>
      <c r="F387" s="83" t="e">
        <f t="shared" ref="F387:G387" si="44">F386/E386-1</f>
        <v>#DIV/0!</v>
      </c>
      <c r="G387" s="83" t="e">
        <f t="shared" si="44"/>
        <v>#DIV/0!</v>
      </c>
    </row>
    <row r="388" spans="3:7" ht="15.75" thickBot="1" x14ac:dyDescent="0.3">
      <c r="C388" s="24" t="s">
        <v>90</v>
      </c>
      <c r="D388" s="25">
        <f>D225+D202+D87+D41</f>
        <v>0</v>
      </c>
      <c r="E388" s="25">
        <f>E225+E202+E87+E41</f>
        <v>0</v>
      </c>
      <c r="F388" s="25">
        <f>F225+F202+F87+F41</f>
        <v>0</v>
      </c>
      <c r="G388" s="25">
        <f>G225+G202+G87+G41</f>
        <v>0</v>
      </c>
    </row>
    <row r="389" spans="3:7" ht="24.75" thickBot="1" x14ac:dyDescent="0.3">
      <c r="C389" s="82" t="s">
        <v>233</v>
      </c>
      <c r="D389" s="26"/>
      <c r="E389" s="83" t="e">
        <f>E388/D388-1</f>
        <v>#DIV/0!</v>
      </c>
      <c r="F389" s="83" t="e">
        <f t="shared" ref="F389:G389" si="45">F388/E388-1</f>
        <v>#DIV/0!</v>
      </c>
      <c r="G389" s="83" t="e">
        <f t="shared" si="45"/>
        <v>#DIV/0!</v>
      </c>
    </row>
    <row r="390" spans="3:7" ht="24.75" thickBot="1" x14ac:dyDescent="0.3">
      <c r="C390" s="24" t="s">
        <v>91</v>
      </c>
      <c r="D390" s="25">
        <f>D226+D203+D88+D42+D66</f>
        <v>218000</v>
      </c>
      <c r="E390" s="25">
        <f>E226+E203+E88+E42+E66</f>
        <v>239000</v>
      </c>
      <c r="F390" s="25">
        <f>F226+F203+F88+F42+F66</f>
        <v>250000</v>
      </c>
      <c r="G390" s="25">
        <f>G226+G203+G88+G42+G66</f>
        <v>253200</v>
      </c>
    </row>
    <row r="391" spans="3:7" ht="24.75" thickBot="1" x14ac:dyDescent="0.3">
      <c r="C391" s="82" t="s">
        <v>234</v>
      </c>
      <c r="D391" s="26"/>
      <c r="E391" s="83">
        <f>E390/D390-1</f>
        <v>9.6330275229357776E-2</v>
      </c>
      <c r="F391" s="83">
        <f t="shared" ref="F391:G391" si="46">F390/E390-1</f>
        <v>4.6025104602510414E-2</v>
      </c>
      <c r="G391" s="83">
        <f t="shared" si="46"/>
        <v>1.2799999999999923E-2</v>
      </c>
    </row>
    <row r="392" spans="3:7" ht="15.75" thickBot="1" x14ac:dyDescent="0.3">
      <c r="C392" s="24" t="s">
        <v>128</v>
      </c>
      <c r="D392" s="25">
        <f>D108+D129+D149+D167+D315+D333+D353+D371</f>
        <v>0</v>
      </c>
      <c r="E392" s="25">
        <f>E108+E129+E149+E167+E315+E333+E353+E371</f>
        <v>0</v>
      </c>
      <c r="F392" s="25">
        <f>F108+F129+F149+F167+F315+F333+F353+F371</f>
        <v>0</v>
      </c>
      <c r="G392" s="25">
        <f>G108+G129+G149+G167+G315+G333+G353+G371</f>
        <v>0</v>
      </c>
    </row>
    <row r="393" spans="3:7" ht="24.75" thickBot="1" x14ac:dyDescent="0.3">
      <c r="C393" s="82" t="s">
        <v>129</v>
      </c>
      <c r="D393" s="26"/>
      <c r="E393" s="83" t="e">
        <f>E392/D392-1</f>
        <v>#DIV/0!</v>
      </c>
      <c r="F393" s="83" t="e">
        <f t="shared" ref="F393:G393" si="47">F392/E392-1</f>
        <v>#DIV/0!</v>
      </c>
      <c r="G393" s="83" t="e">
        <f t="shared" si="47"/>
        <v>#DIV/0!</v>
      </c>
    </row>
    <row r="394" spans="3:7" ht="15.75" thickBot="1" x14ac:dyDescent="0.3">
      <c r="C394" s="24" t="s">
        <v>235</v>
      </c>
      <c r="D394" s="25">
        <f>D109+D130+D150+D168+D316+D334+D354+D372</f>
        <v>524200</v>
      </c>
      <c r="E394" s="25">
        <f>E109+E130+E150+E168+E316+E334+E354+E372</f>
        <v>720700</v>
      </c>
      <c r="F394" s="25">
        <f>F110+F317+F355+F373</f>
        <v>618469</v>
      </c>
      <c r="G394" s="25">
        <f>G109+G130+G150+G168+G316+G334+G354+G372</f>
        <v>518469</v>
      </c>
    </row>
    <row r="395" spans="3:7" ht="24.75" thickBot="1" x14ac:dyDescent="0.3">
      <c r="C395" s="82" t="s">
        <v>236</v>
      </c>
      <c r="D395" s="26"/>
      <c r="E395" s="83">
        <f>E394/D394-1</f>
        <v>0.37485692483784816</v>
      </c>
      <c r="F395" s="83">
        <f t="shared" ref="F395:G395" si="48">F394/E394-1</f>
        <v>-0.14184959067573188</v>
      </c>
      <c r="G395" s="83">
        <f t="shared" si="48"/>
        <v>-0.16168959155592277</v>
      </c>
    </row>
    <row r="396" spans="3:7" ht="15.75" thickBot="1" x14ac:dyDescent="0.3">
      <c r="C396" s="28" t="s">
        <v>93</v>
      </c>
      <c r="D396" s="29" t="str">
        <f>IF(D376-D375=0,0,"Error")</f>
        <v>Error</v>
      </c>
      <c r="E396" s="29">
        <f t="shared" ref="E396:G396" si="49">IF(E376-E375=0,0,"Error")</f>
        <v>0</v>
      </c>
      <c r="F396" s="29">
        <f t="shared" si="49"/>
        <v>0</v>
      </c>
      <c r="G396" s="29">
        <f t="shared" si="49"/>
        <v>0</v>
      </c>
    </row>
    <row r="397" spans="3:7" ht="24.75" thickBot="1" x14ac:dyDescent="0.3">
      <c r="C397" s="45" t="s">
        <v>130</v>
      </c>
      <c r="D397" s="25">
        <v>1545</v>
      </c>
      <c r="E397" s="25">
        <v>1600</v>
      </c>
      <c r="F397" s="25">
        <v>1628</v>
      </c>
      <c r="G397" s="25">
        <v>1635</v>
      </c>
    </row>
    <row r="398" spans="3:7" ht="24.75" thickBot="1" x14ac:dyDescent="0.3">
      <c r="C398" s="45" t="s">
        <v>131</v>
      </c>
      <c r="D398" s="25">
        <v>100</v>
      </c>
      <c r="E398" s="25">
        <v>105</v>
      </c>
      <c r="F398" s="25">
        <v>110</v>
      </c>
      <c r="G398" s="25">
        <v>115</v>
      </c>
    </row>
  </sheetData>
  <mergeCells count="131">
    <mergeCell ref="D359:G359"/>
    <mergeCell ref="C360:C361"/>
    <mergeCell ref="C368:G368"/>
    <mergeCell ref="C369:C370"/>
    <mergeCell ref="C342:C343"/>
    <mergeCell ref="C350:G350"/>
    <mergeCell ref="C351:C352"/>
    <mergeCell ref="D356:G356"/>
    <mergeCell ref="D357:G357"/>
    <mergeCell ref="D358:G358"/>
    <mergeCell ref="C336:G336"/>
    <mergeCell ref="C337:G337"/>
    <mergeCell ref="D338:G338"/>
    <mergeCell ref="D339:G339"/>
    <mergeCell ref="D340:G340"/>
    <mergeCell ref="D341:G341"/>
    <mergeCell ref="D319:G319"/>
    <mergeCell ref="D320:G320"/>
    <mergeCell ref="D321:G321"/>
    <mergeCell ref="C322:C323"/>
    <mergeCell ref="C330:G330"/>
    <mergeCell ref="C331:C332"/>
    <mergeCell ref="D302:G302"/>
    <mergeCell ref="D303:G303"/>
    <mergeCell ref="C304:C305"/>
    <mergeCell ref="C312:G312"/>
    <mergeCell ref="C313:C314"/>
    <mergeCell ref="D318:G318"/>
    <mergeCell ref="C286:G286"/>
    <mergeCell ref="C287:C288"/>
    <mergeCell ref="C298:G298"/>
    <mergeCell ref="C299:G299"/>
    <mergeCell ref="D300:G300"/>
    <mergeCell ref="D301:G301"/>
    <mergeCell ref="C263:G263"/>
    <mergeCell ref="C264:C265"/>
    <mergeCell ref="D275:G275"/>
    <mergeCell ref="D276:G276"/>
    <mergeCell ref="D277:G277"/>
    <mergeCell ref="C278:C279"/>
    <mergeCell ref="C240:G240"/>
    <mergeCell ref="C241:C242"/>
    <mergeCell ref="D252:G252"/>
    <mergeCell ref="D253:G253"/>
    <mergeCell ref="D254:G254"/>
    <mergeCell ref="C255:C256"/>
    <mergeCell ref="C217:G217"/>
    <mergeCell ref="C218:C219"/>
    <mergeCell ref="D229:G229"/>
    <mergeCell ref="D230:G230"/>
    <mergeCell ref="D231:G231"/>
    <mergeCell ref="C232:C233"/>
    <mergeCell ref="C192:C193"/>
    <mergeCell ref="C194:G194"/>
    <mergeCell ref="C195:C196"/>
    <mergeCell ref="D207:G207"/>
    <mergeCell ref="D208:G208"/>
    <mergeCell ref="C209:C210"/>
    <mergeCell ref="C178:G178"/>
    <mergeCell ref="C179:C180"/>
    <mergeCell ref="D181:G181"/>
    <mergeCell ref="D182:G182"/>
    <mergeCell ref="D183:G183"/>
    <mergeCell ref="C184:C185"/>
    <mergeCell ref="D170:G170"/>
    <mergeCell ref="C171:G171"/>
    <mergeCell ref="C177:G177"/>
    <mergeCell ref="C146:G146"/>
    <mergeCell ref="C147:C148"/>
    <mergeCell ref="D152:G152"/>
    <mergeCell ref="D153:G153"/>
    <mergeCell ref="D154:G154"/>
    <mergeCell ref="D155:G155"/>
    <mergeCell ref="C133:G133"/>
    <mergeCell ref="D134:G134"/>
    <mergeCell ref="D135:G135"/>
    <mergeCell ref="D136:G136"/>
    <mergeCell ref="D137:G137"/>
    <mergeCell ref="C138:C139"/>
    <mergeCell ref="C91:G91"/>
    <mergeCell ref="D116:G116"/>
    <mergeCell ref="D117:G117"/>
    <mergeCell ref="C118:C119"/>
    <mergeCell ref="C126:G126"/>
    <mergeCell ref="C127:C128"/>
    <mergeCell ref="C132:G132"/>
    <mergeCell ref="C105:G105"/>
    <mergeCell ref="C106:C107"/>
    <mergeCell ref="C111:C113"/>
    <mergeCell ref="D111:G113"/>
    <mergeCell ref="D114:G114"/>
    <mergeCell ref="D115:G115"/>
    <mergeCell ref="C2:G2"/>
    <mergeCell ref="D4:G4"/>
    <mergeCell ref="D5:G5"/>
    <mergeCell ref="D6:G6"/>
    <mergeCell ref="C7:G7"/>
    <mergeCell ref="C8:G8"/>
    <mergeCell ref="D46:G46"/>
    <mergeCell ref="D47:G47"/>
    <mergeCell ref="C48:C49"/>
    <mergeCell ref="D23:G23"/>
    <mergeCell ref="D24:G24"/>
    <mergeCell ref="C25:C26"/>
    <mergeCell ref="C33:G33"/>
    <mergeCell ref="C34:C35"/>
    <mergeCell ref="D45:G45"/>
    <mergeCell ref="C165:C166"/>
    <mergeCell ref="C164:G164"/>
    <mergeCell ref="C156:C157"/>
    <mergeCell ref="D206:G206"/>
    <mergeCell ref="D9:G9"/>
    <mergeCell ref="C10:C11"/>
    <mergeCell ref="D15:G15"/>
    <mergeCell ref="C16:G16"/>
    <mergeCell ref="C21:G21"/>
    <mergeCell ref="D22:G22"/>
    <mergeCell ref="D56:G56"/>
    <mergeCell ref="C57:G57"/>
    <mergeCell ref="C58:C59"/>
    <mergeCell ref="C92:G92"/>
    <mergeCell ref="D93:G93"/>
    <mergeCell ref="D94:G94"/>
    <mergeCell ref="D95:G95"/>
    <mergeCell ref="D96:G96"/>
    <mergeCell ref="C97:C98"/>
    <mergeCell ref="D69:G69"/>
    <mergeCell ref="D70:G70"/>
    <mergeCell ref="C72:C73"/>
    <mergeCell ref="C79:G79"/>
    <mergeCell ref="C80:C81"/>
  </mergeCells>
  <hyperlinks>
    <hyperlink ref="D9:G9" r:id="rId1" display="xxxxx"/>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163"/>
  <sheetViews>
    <sheetView tabSelected="1" topLeftCell="A68" zoomScale="140" zoomScaleNormal="140" workbookViewId="0">
      <selection activeCell="M125" sqref="M125"/>
    </sheetView>
  </sheetViews>
  <sheetFormatPr defaultRowHeight="15" x14ac:dyDescent="0.25"/>
  <cols>
    <col min="3" max="3" width="48.140625" customWidth="1"/>
    <col min="4" max="7" width="13" customWidth="1"/>
  </cols>
  <sheetData>
    <row r="2" spans="3:7" x14ac:dyDescent="0.25">
      <c r="C2" s="376" t="s">
        <v>33</v>
      </c>
      <c r="D2" s="376"/>
      <c r="E2" s="376"/>
      <c r="F2" s="376"/>
      <c r="G2" s="376"/>
    </row>
    <row r="3" spans="3:7" ht="15.75" thickBot="1" x14ac:dyDescent="0.3"/>
    <row r="4" spans="3:7" ht="15.75" thickBot="1" x14ac:dyDescent="0.3">
      <c r="C4" s="9" t="s">
        <v>34</v>
      </c>
      <c r="D4" s="457" t="s">
        <v>27</v>
      </c>
      <c r="E4" s="457"/>
      <c r="F4" s="457"/>
      <c r="G4" s="457"/>
    </row>
    <row r="5" spans="3:7" ht="15.75" thickBot="1" x14ac:dyDescent="0.3">
      <c r="C5" s="9" t="s">
        <v>6</v>
      </c>
      <c r="D5" s="309" t="s">
        <v>31</v>
      </c>
      <c r="E5" s="310"/>
      <c r="F5" s="310"/>
      <c r="G5" s="311"/>
    </row>
    <row r="6" spans="3:7" ht="15.75" thickBot="1" x14ac:dyDescent="0.3">
      <c r="C6" s="9" t="s">
        <v>36</v>
      </c>
      <c r="D6" s="312" t="s">
        <v>37</v>
      </c>
      <c r="E6" s="313"/>
      <c r="F6" s="313"/>
      <c r="G6" s="314"/>
    </row>
    <row r="7" spans="3:7" ht="15.75" thickBot="1" x14ac:dyDescent="0.3">
      <c r="C7" s="315" t="s">
        <v>7</v>
      </c>
      <c r="D7" s="316"/>
      <c r="E7" s="316"/>
      <c r="F7" s="316"/>
      <c r="G7" s="317"/>
    </row>
    <row r="8" spans="3:7" x14ac:dyDescent="0.25">
      <c r="C8" s="377" t="s">
        <v>605</v>
      </c>
      <c r="D8" s="378"/>
      <c r="E8" s="378"/>
      <c r="F8" s="378"/>
      <c r="G8" s="379"/>
    </row>
    <row r="9" spans="3:7" x14ac:dyDescent="0.25">
      <c r="C9" s="380"/>
      <c r="D9" s="381"/>
      <c r="E9" s="381"/>
      <c r="F9" s="381"/>
      <c r="G9" s="382"/>
    </row>
    <row r="10" spans="3:7" ht="15.75" thickBot="1" x14ac:dyDescent="0.3">
      <c r="C10" s="383"/>
      <c r="D10" s="384"/>
      <c r="E10" s="384"/>
      <c r="F10" s="384"/>
      <c r="G10" s="385"/>
    </row>
    <row r="11" spans="3:7" ht="35.25" customHeight="1" thickBot="1" x14ac:dyDescent="0.3">
      <c r="C11" s="10" t="s">
        <v>39</v>
      </c>
      <c r="D11" s="558" t="s">
        <v>606</v>
      </c>
      <c r="E11" s="603"/>
      <c r="F11" s="603"/>
      <c r="G11" s="604"/>
    </row>
    <row r="12" spans="3:7" x14ac:dyDescent="0.25">
      <c r="C12" s="605" t="s">
        <v>139</v>
      </c>
      <c r="D12" s="192">
        <v>2018</v>
      </c>
      <c r="E12" s="192">
        <v>2019</v>
      </c>
      <c r="F12" s="192">
        <v>2020</v>
      </c>
      <c r="G12" s="192">
        <v>2021</v>
      </c>
    </row>
    <row r="13" spans="3:7" ht="15.75" thickBot="1" x14ac:dyDescent="0.3">
      <c r="C13" s="606"/>
      <c r="D13" s="193" t="s">
        <v>42</v>
      </c>
      <c r="E13" s="193" t="s">
        <v>43</v>
      </c>
      <c r="F13" s="193" t="s">
        <v>43</v>
      </c>
      <c r="G13" s="193" t="s">
        <v>43</v>
      </c>
    </row>
    <row r="14" spans="3:7" ht="24.75" thickBot="1" x14ac:dyDescent="0.3">
      <c r="C14" s="202" t="s">
        <v>607</v>
      </c>
      <c r="D14" s="194">
        <v>-0.04</v>
      </c>
      <c r="E14" s="195">
        <v>-5.0588756427876524E-2</v>
      </c>
      <c r="F14" s="195">
        <v>-8.9352489702377552E-2</v>
      </c>
      <c r="G14" s="195">
        <v>0.12371092273076133</v>
      </c>
    </row>
    <row r="15" spans="3:7" ht="36.75" thickBot="1" x14ac:dyDescent="0.3">
      <c r="C15" s="196" t="s">
        <v>608</v>
      </c>
      <c r="D15" s="287">
        <v>-5.0000000000000001E-3</v>
      </c>
      <c r="E15" s="195">
        <v>-2.6332605381688787E-2</v>
      </c>
      <c r="F15" s="195">
        <v>-3.2848079633035765E-2</v>
      </c>
      <c r="G15" s="195">
        <v>-6.6085628570621432E-2</v>
      </c>
    </row>
    <row r="16" spans="3:7" ht="15.75" thickBot="1" x14ac:dyDescent="0.3">
      <c r="C16" s="196" t="s">
        <v>609</v>
      </c>
      <c r="D16" s="287">
        <v>7.2307692307692307E-4</v>
      </c>
      <c r="E16" s="206">
        <v>7.2307692307692307E-4</v>
      </c>
      <c r="F16" s="206">
        <v>1E-3</v>
      </c>
      <c r="G16" s="206">
        <v>1E-3</v>
      </c>
    </row>
    <row r="17" spans="3:9" ht="26.25" customHeight="1" thickBot="1" x14ac:dyDescent="0.3">
      <c r="C17" s="51" t="s">
        <v>46</v>
      </c>
      <c r="D17" s="332" t="s">
        <v>610</v>
      </c>
      <c r="E17" s="333"/>
      <c r="F17" s="333"/>
      <c r="G17" s="334"/>
    </row>
    <row r="18" spans="3:9" ht="15.75" thickBot="1" x14ac:dyDescent="0.3">
      <c r="C18" s="567" t="s">
        <v>154</v>
      </c>
      <c r="D18" s="568"/>
      <c r="E18" s="568"/>
      <c r="F18" s="568"/>
      <c r="G18" s="569"/>
    </row>
    <row r="19" spans="3:9" ht="24.75" thickBot="1" x14ac:dyDescent="0.3">
      <c r="C19" s="202" t="s">
        <v>611</v>
      </c>
      <c r="D19" s="194">
        <v>8.6337462746218369E-2</v>
      </c>
      <c r="E19" s="195">
        <v>0.13008219963232079</v>
      </c>
      <c r="F19" s="195">
        <v>0.17516188325997825</v>
      </c>
      <c r="G19" s="195">
        <v>0.21758920923519021</v>
      </c>
    </row>
    <row r="20" spans="3:9" ht="24.75" thickBot="1" x14ac:dyDescent="0.3">
      <c r="C20" s="196" t="s">
        <v>612</v>
      </c>
      <c r="D20" s="197" t="s">
        <v>613</v>
      </c>
      <c r="E20" s="198">
        <v>40</v>
      </c>
      <c r="F20" s="198">
        <v>60</v>
      </c>
      <c r="G20" s="198">
        <v>80</v>
      </c>
    </row>
    <row r="21" spans="3:9" ht="15.75" thickBot="1" x14ac:dyDescent="0.3">
      <c r="C21" s="196"/>
      <c r="D21" s="195" t="s">
        <v>61</v>
      </c>
      <c r="E21" s="195" t="s">
        <v>62</v>
      </c>
      <c r="F21" s="195" t="s">
        <v>62</v>
      </c>
      <c r="G21" s="195" t="s">
        <v>62</v>
      </c>
    </row>
    <row r="22" spans="3:9" ht="15.75" thickBot="1" x14ac:dyDescent="0.3">
      <c r="C22" s="600" t="s">
        <v>69</v>
      </c>
      <c r="D22" s="601"/>
      <c r="E22" s="601"/>
      <c r="F22" s="601"/>
      <c r="G22" s="602"/>
    </row>
    <row r="23" spans="3:9" ht="15.75" thickBot="1" x14ac:dyDescent="0.3">
      <c r="C23" s="600" t="s">
        <v>70</v>
      </c>
      <c r="D23" s="601"/>
      <c r="E23" s="601"/>
      <c r="F23" s="601"/>
      <c r="G23" s="602"/>
    </row>
    <row r="24" spans="3:9" ht="15.75" thickBot="1" x14ac:dyDescent="0.3">
      <c r="C24" s="199" t="s">
        <v>71</v>
      </c>
      <c r="D24" s="600" t="s">
        <v>614</v>
      </c>
      <c r="E24" s="601"/>
      <c r="F24" s="601"/>
      <c r="G24" s="602"/>
    </row>
    <row r="25" spans="3:9" ht="15.75" thickBot="1" x14ac:dyDescent="0.3">
      <c r="C25" s="196" t="s">
        <v>73</v>
      </c>
      <c r="D25" s="567" t="s">
        <v>615</v>
      </c>
      <c r="E25" s="568"/>
      <c r="F25" s="568"/>
      <c r="G25" s="569"/>
    </row>
    <row r="26" spans="3:9" ht="15.75" thickBot="1" x14ac:dyDescent="0.3">
      <c r="C26" s="196" t="s">
        <v>75</v>
      </c>
      <c r="D26" s="473" t="s">
        <v>616</v>
      </c>
      <c r="E26" s="474"/>
      <c r="F26" s="474"/>
      <c r="G26" s="475"/>
    </row>
    <row r="27" spans="3:9" x14ac:dyDescent="0.25">
      <c r="C27" s="200"/>
      <c r="D27" s="201">
        <v>2018</v>
      </c>
      <c r="E27" s="201">
        <v>2019</v>
      </c>
      <c r="F27" s="201">
        <v>2020</v>
      </c>
      <c r="G27" s="201">
        <v>2021</v>
      </c>
    </row>
    <row r="28" spans="3:9" ht="15.75" thickBot="1" x14ac:dyDescent="0.3">
      <c r="C28" s="202"/>
      <c r="D28" s="203" t="s">
        <v>42</v>
      </c>
      <c r="E28" s="203" t="s">
        <v>43</v>
      </c>
      <c r="F28" s="203" t="s">
        <v>43</v>
      </c>
      <c r="G28" s="203" t="s">
        <v>43</v>
      </c>
    </row>
    <row r="29" spans="3:9" ht="15.75" thickBot="1" x14ac:dyDescent="0.3">
      <c r="C29" s="196" t="s">
        <v>77</v>
      </c>
      <c r="D29" s="204">
        <v>4086</v>
      </c>
      <c r="E29" s="204">
        <v>4163.4365686554593</v>
      </c>
      <c r="F29" s="204">
        <v>4230.1032353221262</v>
      </c>
      <c r="G29" s="204">
        <v>4570.1915405411919</v>
      </c>
      <c r="I29" s="619"/>
    </row>
    <row r="30" spans="3:9" ht="15.75" thickBot="1" x14ac:dyDescent="0.3">
      <c r="C30" s="196" t="s">
        <v>78</v>
      </c>
      <c r="D30" s="204">
        <f>259285048.33/1000</f>
        <v>259285.04833000002</v>
      </c>
      <c r="E30" s="204">
        <f>243185980.11/$K$121</f>
        <v>243185.98011</v>
      </c>
      <c r="F30" s="204">
        <f>236098821.3034/K121</f>
        <v>236098.82130340001</v>
      </c>
      <c r="G30" s="204">
        <f>248230892.025196/K121</f>
        <v>248230.89202519599</v>
      </c>
    </row>
    <row r="31" spans="3:9" ht="15.75" thickBot="1" x14ac:dyDescent="0.3">
      <c r="C31" s="196" t="s">
        <v>79</v>
      </c>
      <c r="D31" s="204">
        <f>D30/D29</f>
        <v>63.456937917278516</v>
      </c>
      <c r="E31" s="204">
        <f>E30/E29</f>
        <v>58.409915967216122</v>
      </c>
      <c r="F31" s="204">
        <f>F30/F29</f>
        <v>55.813962016797177</v>
      </c>
      <c r="G31" s="204">
        <f>G30/G29</f>
        <v>54.315205352596891</v>
      </c>
    </row>
    <row r="32" spans="3:9" ht="15.75" thickBot="1" x14ac:dyDescent="0.3">
      <c r="C32" s="196" t="s">
        <v>80</v>
      </c>
      <c r="D32" s="205" t="s">
        <v>81</v>
      </c>
      <c r="E32" s="206">
        <f t="shared" ref="E32:G33" si="0">E29/D29-1</f>
        <v>1.8951681021894151E-2</v>
      </c>
      <c r="F32" s="206">
        <f t="shared" si="0"/>
        <v>1.6012413199367304E-2</v>
      </c>
      <c r="G32" s="206">
        <f t="shared" si="0"/>
        <v>8.0397164395248577E-2</v>
      </c>
    </row>
    <row r="33" spans="3:7" ht="15.75" thickBot="1" x14ac:dyDescent="0.3">
      <c r="C33" s="196" t="s">
        <v>82</v>
      </c>
      <c r="D33" s="205" t="s">
        <v>81</v>
      </c>
      <c r="E33" s="206">
        <f t="shared" si="0"/>
        <v>-6.2090229744023784E-2</v>
      </c>
      <c r="F33" s="206">
        <f t="shared" si="0"/>
        <v>-2.9142958008493203E-2</v>
      </c>
      <c r="G33" s="206">
        <f t="shared" si="0"/>
        <v>5.1385562430257048E-2</v>
      </c>
    </row>
    <row r="34" spans="3:7" ht="15.75" thickBot="1" x14ac:dyDescent="0.3">
      <c r="C34" s="196" t="s">
        <v>83</v>
      </c>
      <c r="D34" s="205" t="s">
        <v>81</v>
      </c>
      <c r="E34" s="206">
        <f>E31/D31-1</f>
        <v>-7.9534596463535889E-2</v>
      </c>
      <c r="F34" s="206">
        <f>F31/E31-1</f>
        <v>-4.444371999911767E-2</v>
      </c>
      <c r="G34" s="206">
        <f>G31/F31-1</f>
        <v>-2.6852719463800745E-2</v>
      </c>
    </row>
    <row r="35" spans="3:7" ht="15.75" thickBot="1" x14ac:dyDescent="0.3">
      <c r="C35" s="610" t="s">
        <v>617</v>
      </c>
      <c r="D35" s="611"/>
      <c r="E35" s="611"/>
      <c r="F35" s="611"/>
      <c r="G35" s="612"/>
    </row>
    <row r="36" spans="3:7" x14ac:dyDescent="0.25">
      <c r="C36" s="605"/>
      <c r="D36" s="201">
        <v>2018</v>
      </c>
      <c r="E36" s="201">
        <v>2019</v>
      </c>
      <c r="F36" s="201">
        <v>2020</v>
      </c>
      <c r="G36" s="201">
        <v>2021</v>
      </c>
    </row>
    <row r="37" spans="3:7" ht="15.75" thickBot="1" x14ac:dyDescent="0.3">
      <c r="C37" s="606"/>
      <c r="D37" s="203" t="s">
        <v>42</v>
      </c>
      <c r="E37" s="203" t="s">
        <v>43</v>
      </c>
      <c r="F37" s="203" t="s">
        <v>43</v>
      </c>
      <c r="G37" s="203" t="s">
        <v>43</v>
      </c>
    </row>
    <row r="38" spans="3:7" ht="15.75" thickBot="1" x14ac:dyDescent="0.3">
      <c r="C38" s="24" t="s">
        <v>85</v>
      </c>
      <c r="D38" s="207"/>
      <c r="E38" s="207"/>
      <c r="F38" s="207"/>
      <c r="G38" s="207"/>
    </row>
    <row r="39" spans="3:7" ht="15.75" thickBot="1" x14ac:dyDescent="0.3">
      <c r="C39" s="24" t="s">
        <v>86</v>
      </c>
      <c r="D39" s="207"/>
      <c r="E39" s="207"/>
      <c r="F39" s="207"/>
      <c r="G39" s="207"/>
    </row>
    <row r="40" spans="3:7" ht="15.75" thickBot="1" x14ac:dyDescent="0.3">
      <c r="C40" s="24" t="s">
        <v>87</v>
      </c>
      <c r="D40" s="208"/>
      <c r="E40" s="207"/>
      <c r="F40" s="207"/>
      <c r="G40" s="207"/>
    </row>
    <row r="41" spans="3:7" ht="15.75" thickBot="1" x14ac:dyDescent="0.3">
      <c r="C41" s="24" t="s">
        <v>88</v>
      </c>
      <c r="D41" s="208"/>
      <c r="E41" s="207"/>
      <c r="F41" s="207"/>
      <c r="G41" s="207"/>
    </row>
    <row r="42" spans="3:7" ht="15.75" thickBot="1" x14ac:dyDescent="0.3">
      <c r="C42" s="24" t="s">
        <v>89</v>
      </c>
      <c r="D42" s="208"/>
      <c r="E42" s="207"/>
      <c r="F42" s="207"/>
      <c r="G42" s="207"/>
    </row>
    <row r="43" spans="3:7" ht="15.75" thickBot="1" x14ac:dyDescent="0.3">
      <c r="C43" s="24" t="s">
        <v>90</v>
      </c>
      <c r="D43" s="208"/>
      <c r="E43" s="207"/>
      <c r="F43" s="207"/>
      <c r="G43" s="207"/>
    </row>
    <row r="44" spans="3:7" ht="15.75" thickBot="1" x14ac:dyDescent="0.3">
      <c r="C44" s="24" t="s">
        <v>91</v>
      </c>
      <c r="D44" s="208">
        <f>D30</f>
        <v>259285.04833000002</v>
      </c>
      <c r="E44" s="208">
        <f>E30</f>
        <v>243185.98011</v>
      </c>
      <c r="F44" s="208">
        <f>F30</f>
        <v>236098.82130340001</v>
      </c>
      <c r="G44" s="208">
        <f>G30</f>
        <v>248230.89202519599</v>
      </c>
    </row>
    <row r="45" spans="3:7" ht="15.75" thickBot="1" x14ac:dyDescent="0.3">
      <c r="C45" s="27" t="s">
        <v>92</v>
      </c>
      <c r="D45" s="208">
        <f>D44+D43+D42+D41+D40+D39+D38</f>
        <v>259285.04833000002</v>
      </c>
      <c r="E45" s="208">
        <f>E44+E43+E42+E41+E40+E39+E38</f>
        <v>243185.98011</v>
      </c>
      <c r="F45" s="208">
        <f>F44+F43+F42+F41+F40+F39+F38</f>
        <v>236098.82130340001</v>
      </c>
      <c r="G45" s="208">
        <f>G44+G43+G42+G41+G40+G39+G38</f>
        <v>248230.89202519599</v>
      </c>
    </row>
    <row r="46" spans="3:7" ht="15.75" thickBot="1" x14ac:dyDescent="0.3">
      <c r="C46" s="65" t="s">
        <v>93</v>
      </c>
      <c r="D46" s="209">
        <f>IF(D45-D30=0,0,"Error")</f>
        <v>0</v>
      </c>
      <c r="E46" s="209">
        <f>IF(E45-E30=0,0,"Error")</f>
        <v>0</v>
      </c>
      <c r="F46" s="209">
        <f>IF(F45-F30=0,0,"Error")</f>
        <v>0</v>
      </c>
      <c r="G46" s="209">
        <f>IF(G45-G30=0,0,"Error")</f>
        <v>0</v>
      </c>
    </row>
    <row r="47" spans="3:7" ht="15.75" thickBot="1" x14ac:dyDescent="0.3">
      <c r="C47" s="51" t="s">
        <v>618</v>
      </c>
      <c r="D47" s="600" t="s">
        <v>619</v>
      </c>
      <c r="E47" s="601"/>
      <c r="F47" s="601"/>
      <c r="G47" s="602"/>
    </row>
    <row r="48" spans="3:7" ht="15.75" thickBot="1" x14ac:dyDescent="0.3">
      <c r="C48" s="196" t="s">
        <v>73</v>
      </c>
      <c r="D48" s="567" t="s">
        <v>620</v>
      </c>
      <c r="E48" s="568"/>
      <c r="F48" s="568"/>
      <c r="G48" s="569"/>
    </row>
    <row r="49" spans="3:7" ht="15.75" thickBot="1" x14ac:dyDescent="0.3">
      <c r="C49" s="196" t="s">
        <v>75</v>
      </c>
      <c r="D49" s="473" t="s">
        <v>616</v>
      </c>
      <c r="E49" s="474"/>
      <c r="F49" s="474"/>
      <c r="G49" s="475"/>
    </row>
    <row r="50" spans="3:7" x14ac:dyDescent="0.25">
      <c r="C50" s="605"/>
      <c r="D50" s="201">
        <v>2018</v>
      </c>
      <c r="E50" s="201">
        <v>2019</v>
      </c>
      <c r="F50" s="201">
        <v>2020</v>
      </c>
      <c r="G50" s="201">
        <v>2021</v>
      </c>
    </row>
    <row r="51" spans="3:7" ht="15.75" thickBot="1" x14ac:dyDescent="0.3">
      <c r="C51" s="606"/>
      <c r="D51" s="203" t="s">
        <v>42</v>
      </c>
      <c r="E51" s="203" t="s">
        <v>43</v>
      </c>
      <c r="F51" s="203" t="s">
        <v>43</v>
      </c>
      <c r="G51" s="203" t="s">
        <v>43</v>
      </c>
    </row>
    <row r="52" spans="3:7" ht="15.75" thickBot="1" x14ac:dyDescent="0.3">
      <c r="C52" s="196" t="s">
        <v>77</v>
      </c>
      <c r="D52" s="204">
        <v>77.436568655459268</v>
      </c>
      <c r="E52" s="204">
        <v>66.66666666666697</v>
      </c>
      <c r="F52" s="204">
        <v>340.08830521906566</v>
      </c>
      <c r="G52" s="204">
        <v>363.20695890410934</v>
      </c>
    </row>
    <row r="53" spans="3:7" ht="15.75" thickBot="1" x14ac:dyDescent="0.3">
      <c r="C53" s="196" t="s">
        <v>78</v>
      </c>
      <c r="D53" s="204">
        <f>9214951.66999969/K121</f>
        <v>9214.9516699996911</v>
      </c>
      <c r="E53" s="204">
        <f>8000000/K121</f>
        <v>8000</v>
      </c>
      <c r="F53" s="204">
        <f>28000000/K121</f>
        <v>28000</v>
      </c>
      <c r="G53" s="204">
        <f>29769108/K121</f>
        <v>29769.108</v>
      </c>
    </row>
    <row r="54" spans="3:7" ht="15.75" thickBot="1" x14ac:dyDescent="0.3">
      <c r="C54" s="196" t="s">
        <v>79</v>
      </c>
      <c r="D54" s="204">
        <f>D53/D52</f>
        <v>119.0000000000005</v>
      </c>
      <c r="E54" s="204">
        <f>E53/E52</f>
        <v>119.99999999999946</v>
      </c>
      <c r="F54" s="204">
        <f>F53/F52</f>
        <v>82.331557922769449</v>
      </c>
      <c r="G54" s="204">
        <f>G53/G52</f>
        <v>81.961832696766621</v>
      </c>
    </row>
    <row r="55" spans="3:7" ht="15.75" thickBot="1" x14ac:dyDescent="0.3">
      <c r="C55" s="196" t="s">
        <v>80</v>
      </c>
      <c r="D55" s="205"/>
      <c r="E55" s="206">
        <f>E52/D52-1</f>
        <v>-0.13908031019183109</v>
      </c>
      <c r="F55" s="206">
        <f>F52/E52-1</f>
        <v>4.1013245782859613</v>
      </c>
      <c r="G55" s="206">
        <f>G52/F52-1</f>
        <v>6.7978384820236437E-2</v>
      </c>
    </row>
    <row r="56" spans="3:7" ht="15.75" thickBot="1" x14ac:dyDescent="0.3">
      <c r="C56" s="196" t="s">
        <v>82</v>
      </c>
      <c r="D56" s="205"/>
      <c r="E56" s="206">
        <f t="shared" ref="E56:G57" si="1">E53/D53-1</f>
        <v>-0.13184569094975318</v>
      </c>
      <c r="F56" s="206">
        <f t="shared" si="1"/>
        <v>2.5</v>
      </c>
      <c r="G56" s="206">
        <f t="shared" si="1"/>
        <v>6.3182428571428639E-2</v>
      </c>
    </row>
    <row r="57" spans="3:7" ht="15.75" thickBot="1" x14ac:dyDescent="0.3">
      <c r="C57" s="196" t="s">
        <v>83</v>
      </c>
      <c r="D57" s="205"/>
      <c r="E57" s="206">
        <f t="shared" si="1"/>
        <v>8.4033613445291255E-3</v>
      </c>
      <c r="F57" s="206">
        <f t="shared" si="1"/>
        <v>-0.31390368397691815</v>
      </c>
      <c r="G57" s="206">
        <f t="shared" si="1"/>
        <v>-4.4906866252870659E-3</v>
      </c>
    </row>
    <row r="58" spans="3:7" ht="15.75" thickBot="1" x14ac:dyDescent="0.3">
      <c r="C58" s="610" t="s">
        <v>621</v>
      </c>
      <c r="D58" s="611"/>
      <c r="E58" s="611"/>
      <c r="F58" s="611"/>
      <c r="G58" s="612"/>
    </row>
    <row r="59" spans="3:7" x14ac:dyDescent="0.25">
      <c r="C59" s="605"/>
      <c r="D59" s="201">
        <v>2018</v>
      </c>
      <c r="E59" s="201">
        <v>2019</v>
      </c>
      <c r="F59" s="201">
        <v>2020</v>
      </c>
      <c r="G59" s="201">
        <v>2021</v>
      </c>
    </row>
    <row r="60" spans="3:7" ht="15.75" thickBot="1" x14ac:dyDescent="0.3">
      <c r="C60" s="606"/>
      <c r="D60" s="203" t="s">
        <v>42</v>
      </c>
      <c r="E60" s="203" t="s">
        <v>43</v>
      </c>
      <c r="F60" s="203" t="s">
        <v>43</v>
      </c>
      <c r="G60" s="203" t="s">
        <v>43</v>
      </c>
    </row>
    <row r="61" spans="3:7" ht="15.75" thickBot="1" x14ac:dyDescent="0.3">
      <c r="C61" s="24" t="s">
        <v>85</v>
      </c>
      <c r="D61" s="207"/>
      <c r="E61" s="207"/>
      <c r="F61" s="207"/>
      <c r="G61" s="207"/>
    </row>
    <row r="62" spans="3:7" ht="15.75" thickBot="1" x14ac:dyDescent="0.3">
      <c r="C62" s="24" t="s">
        <v>86</v>
      </c>
      <c r="D62" s="207"/>
      <c r="E62" s="207"/>
      <c r="F62" s="207"/>
      <c r="G62" s="207"/>
    </row>
    <row r="63" spans="3:7" ht="15.75" thickBot="1" x14ac:dyDescent="0.3">
      <c r="C63" s="24" t="s">
        <v>87</v>
      </c>
      <c r="D63" s="208"/>
      <c r="E63" s="207"/>
      <c r="F63" s="207"/>
      <c r="G63" s="207"/>
    </row>
    <row r="64" spans="3:7" ht="15.75" thickBot="1" x14ac:dyDescent="0.3">
      <c r="C64" s="24" t="s">
        <v>88</v>
      </c>
      <c r="D64" s="208"/>
      <c r="E64" s="207"/>
      <c r="F64" s="207"/>
      <c r="G64" s="207"/>
    </row>
    <row r="65" spans="3:7" ht="15.75" thickBot="1" x14ac:dyDescent="0.3">
      <c r="C65" s="24" t="s">
        <v>89</v>
      </c>
      <c r="D65" s="208"/>
      <c r="E65" s="207"/>
      <c r="F65" s="207"/>
      <c r="G65" s="207"/>
    </row>
    <row r="66" spans="3:7" ht="15.75" thickBot="1" x14ac:dyDescent="0.3">
      <c r="C66" s="24" t="s">
        <v>90</v>
      </c>
      <c r="D66" s="208"/>
      <c r="E66" s="207"/>
      <c r="F66" s="207"/>
      <c r="G66" s="207"/>
    </row>
    <row r="67" spans="3:7" ht="15.75" thickBot="1" x14ac:dyDescent="0.3">
      <c r="C67" s="24" t="s">
        <v>91</v>
      </c>
      <c r="D67" s="208">
        <f>D53</f>
        <v>9214.9516699996911</v>
      </c>
      <c r="E67" s="208">
        <f>E53</f>
        <v>8000</v>
      </c>
      <c r="F67" s="208">
        <f>F53</f>
        <v>28000</v>
      </c>
      <c r="G67" s="208">
        <f>G53</f>
        <v>29769.108</v>
      </c>
    </row>
    <row r="68" spans="3:7" ht="15.75" thickBot="1" x14ac:dyDescent="0.3">
      <c r="C68" s="175" t="s">
        <v>99</v>
      </c>
      <c r="D68" s="208">
        <f>D67+D66+D65+D64+D63+D62+D61</f>
        <v>9214.9516699996911</v>
      </c>
      <c r="E68" s="208">
        <f>E67+E66+E65+E64+E63+E62+E61</f>
        <v>8000</v>
      </c>
      <c r="F68" s="208">
        <f>F67+F66+F65+F64+F63+F62+F61</f>
        <v>28000</v>
      </c>
      <c r="G68" s="208">
        <f>G67+G66+G65+G64+G63+G62+G61</f>
        <v>29769.108</v>
      </c>
    </row>
    <row r="69" spans="3:7" ht="15.75" thickBot="1" x14ac:dyDescent="0.3">
      <c r="C69" s="65" t="s">
        <v>93</v>
      </c>
      <c r="D69" s="209">
        <f>IF(D68-D53=0,0,"Error")</f>
        <v>0</v>
      </c>
      <c r="E69" s="209">
        <f>IF(E68-E53=0,0,"Error")</f>
        <v>0</v>
      </c>
      <c r="F69" s="209">
        <f>IF(F68-F53=0,0,"Error")</f>
        <v>0</v>
      </c>
      <c r="G69" s="209">
        <f>IF(G68-G53=0,0,"Error")</f>
        <v>0</v>
      </c>
    </row>
    <row r="70" spans="3:7" ht="15.75" thickBot="1" x14ac:dyDescent="0.3">
      <c r="C70" s="210" t="s">
        <v>622</v>
      </c>
      <c r="D70" s="607" t="s">
        <v>623</v>
      </c>
      <c r="E70" s="608"/>
      <c r="F70" s="608"/>
      <c r="G70" s="609"/>
    </row>
    <row r="71" spans="3:7" ht="15.75" thickBot="1" x14ac:dyDescent="0.3">
      <c r="C71" s="196" t="s">
        <v>73</v>
      </c>
      <c r="D71" s="473" t="s">
        <v>624</v>
      </c>
      <c r="E71" s="474"/>
      <c r="F71" s="474"/>
      <c r="G71" s="475"/>
    </row>
    <row r="72" spans="3:7" ht="15.75" thickBot="1" x14ac:dyDescent="0.3">
      <c r="C72" s="196" t="s">
        <v>75</v>
      </c>
      <c r="D72" s="473" t="s">
        <v>625</v>
      </c>
      <c r="E72" s="474"/>
      <c r="F72" s="474"/>
      <c r="G72" s="475"/>
    </row>
    <row r="73" spans="3:7" x14ac:dyDescent="0.25">
      <c r="C73" s="605"/>
      <c r="D73" s="201">
        <v>2018</v>
      </c>
      <c r="E73" s="201">
        <v>2019</v>
      </c>
      <c r="F73" s="201">
        <v>2020</v>
      </c>
      <c r="G73" s="201">
        <v>2021</v>
      </c>
    </row>
    <row r="74" spans="3:7" ht="15.75" thickBot="1" x14ac:dyDescent="0.3">
      <c r="C74" s="606"/>
      <c r="D74" s="203" t="s">
        <v>42</v>
      </c>
      <c r="E74" s="203" t="s">
        <v>43</v>
      </c>
      <c r="F74" s="203" t="s">
        <v>43</v>
      </c>
      <c r="G74" s="203" t="s">
        <v>43</v>
      </c>
    </row>
    <row r="75" spans="3:7" ht="15.75" thickBot="1" x14ac:dyDescent="0.3">
      <c r="C75" s="196" t="s">
        <v>77</v>
      </c>
      <c r="D75" s="204">
        <v>381</v>
      </c>
      <c r="E75" s="204">
        <v>691.72448275862064</v>
      </c>
      <c r="F75" s="204">
        <v>455.35298333333333</v>
      </c>
      <c r="G75" s="204">
        <v>390.33333333333331</v>
      </c>
    </row>
    <row r="76" spans="3:7" ht="15.75" thickBot="1" x14ac:dyDescent="0.3">
      <c r="C76" s="196" t="s">
        <v>78</v>
      </c>
      <c r="D76" s="204">
        <f>31500000/K121</f>
        <v>31500</v>
      </c>
      <c r="E76" s="204">
        <f>48814020/K121</f>
        <v>48814.02</v>
      </c>
      <c r="F76" s="204">
        <f>35901179/K121</f>
        <v>35901.178999999996</v>
      </c>
      <c r="G76" s="204">
        <f>32000000/K121</f>
        <v>32000</v>
      </c>
    </row>
    <row r="77" spans="3:7" ht="15.75" thickBot="1" x14ac:dyDescent="0.3">
      <c r="C77" s="196" t="s">
        <v>79</v>
      </c>
      <c r="D77" s="204">
        <f>D76/D75</f>
        <v>82.677165354330711</v>
      </c>
      <c r="E77" s="204">
        <f>E76/E75</f>
        <v>70.568587951850475</v>
      </c>
      <c r="F77" s="204">
        <f>F76/F75</f>
        <v>78.842525060869434</v>
      </c>
      <c r="G77" s="204">
        <f>G76/G75</f>
        <v>81.981212638770288</v>
      </c>
    </row>
    <row r="78" spans="3:7" ht="15.75" thickBot="1" x14ac:dyDescent="0.3">
      <c r="C78" s="196" t="s">
        <v>80</v>
      </c>
      <c r="D78" s="205"/>
      <c r="E78" s="206">
        <f>E75/D75-1</f>
        <v>0.81554982351343996</v>
      </c>
      <c r="F78" s="206">
        <f>F75/E75-1</f>
        <v>-0.34171336322032408</v>
      </c>
      <c r="G78" s="206">
        <f>G75/F75-1</f>
        <v>-0.14278955531165038</v>
      </c>
    </row>
    <row r="79" spans="3:7" ht="15.75" thickBot="1" x14ac:dyDescent="0.3">
      <c r="C79" s="196" t="s">
        <v>82</v>
      </c>
      <c r="D79" s="205"/>
      <c r="E79" s="206">
        <f t="shared" ref="E79:G80" si="2">E76/D76-1</f>
        <v>0.54965142857142846</v>
      </c>
      <c r="F79" s="206">
        <f t="shared" si="2"/>
        <v>-0.26453139897103339</v>
      </c>
      <c r="G79" s="206">
        <f t="shared" si="2"/>
        <v>-0.10866437004756857</v>
      </c>
    </row>
    <row r="80" spans="3:7" ht="15.75" thickBot="1" x14ac:dyDescent="0.3">
      <c r="C80" s="196" t="s">
        <v>83</v>
      </c>
      <c r="D80" s="205"/>
      <c r="E80" s="206">
        <f t="shared" si="2"/>
        <v>-0.14645612667761809</v>
      </c>
      <c r="F80" s="206">
        <f t="shared" si="2"/>
        <v>0.11724674319208894</v>
      </c>
      <c r="G80" s="206">
        <f t="shared" si="2"/>
        <v>3.9809577071227231E-2</v>
      </c>
    </row>
    <row r="81" spans="3:7" ht="15.75" thickBot="1" x14ac:dyDescent="0.3">
      <c r="C81" s="211"/>
      <c r="D81" s="212"/>
      <c r="E81" s="213"/>
      <c r="F81" s="213"/>
      <c r="G81" s="206"/>
    </row>
    <row r="82" spans="3:7" ht="15.75" thickBot="1" x14ac:dyDescent="0.3">
      <c r="C82" s="610" t="s">
        <v>626</v>
      </c>
      <c r="D82" s="611"/>
      <c r="E82" s="611"/>
      <c r="F82" s="611"/>
      <c r="G82" s="612"/>
    </row>
    <row r="83" spans="3:7" x14ac:dyDescent="0.25">
      <c r="C83" s="605"/>
      <c r="D83" s="201">
        <v>2018</v>
      </c>
      <c r="E83" s="201">
        <v>2019</v>
      </c>
      <c r="F83" s="201">
        <v>2020</v>
      </c>
      <c r="G83" s="201">
        <v>2021</v>
      </c>
    </row>
    <row r="84" spans="3:7" ht="15.75" thickBot="1" x14ac:dyDescent="0.3">
      <c r="C84" s="606"/>
      <c r="D84" s="203" t="s">
        <v>42</v>
      </c>
      <c r="E84" s="203" t="s">
        <v>43</v>
      </c>
      <c r="F84" s="203" t="s">
        <v>43</v>
      </c>
      <c r="G84" s="203" t="s">
        <v>43</v>
      </c>
    </row>
    <row r="85" spans="3:7" ht="15.75" thickBot="1" x14ac:dyDescent="0.3">
      <c r="C85" s="24" t="s">
        <v>85</v>
      </c>
      <c r="D85" s="207"/>
      <c r="E85" s="207"/>
      <c r="F85" s="207"/>
      <c r="G85" s="207"/>
    </row>
    <row r="86" spans="3:7" ht="15.75" thickBot="1" x14ac:dyDescent="0.3">
      <c r="C86" s="24" t="s">
        <v>86</v>
      </c>
      <c r="D86" s="207"/>
      <c r="E86" s="207"/>
      <c r="F86" s="207"/>
      <c r="G86" s="207"/>
    </row>
    <row r="87" spans="3:7" ht="15.75" thickBot="1" x14ac:dyDescent="0.3">
      <c r="C87" s="24" t="s">
        <v>87</v>
      </c>
      <c r="D87" s="208"/>
      <c r="E87" s="207"/>
      <c r="F87" s="207"/>
      <c r="G87" s="207"/>
    </row>
    <row r="88" spans="3:7" ht="15.75" thickBot="1" x14ac:dyDescent="0.3">
      <c r="C88" s="24" t="s">
        <v>88</v>
      </c>
      <c r="D88" s="208"/>
      <c r="E88" s="207"/>
      <c r="F88" s="207"/>
      <c r="G88" s="207"/>
    </row>
    <row r="89" spans="3:7" ht="15.75" thickBot="1" x14ac:dyDescent="0.3">
      <c r="C89" s="24" t="s">
        <v>89</v>
      </c>
      <c r="D89" s="208"/>
      <c r="E89" s="207"/>
      <c r="F89" s="207"/>
      <c r="G89" s="207"/>
    </row>
    <row r="90" spans="3:7" ht="15.75" thickBot="1" x14ac:dyDescent="0.3">
      <c r="C90" s="24" t="s">
        <v>90</v>
      </c>
      <c r="D90" s="208"/>
      <c r="E90" s="207"/>
      <c r="F90" s="207"/>
      <c r="G90" s="207"/>
    </row>
    <row r="91" spans="3:7" ht="15.75" thickBot="1" x14ac:dyDescent="0.3">
      <c r="C91" s="24" t="s">
        <v>91</v>
      </c>
      <c r="D91" s="208">
        <f>D76</f>
        <v>31500</v>
      </c>
      <c r="E91" s="208">
        <f>E76</f>
        <v>48814.02</v>
      </c>
      <c r="F91" s="208">
        <f>F76</f>
        <v>35901.178999999996</v>
      </c>
      <c r="G91" s="208">
        <f>G76</f>
        <v>32000</v>
      </c>
    </row>
    <row r="92" spans="3:7" ht="15.75" thickBot="1" x14ac:dyDescent="0.3">
      <c r="C92" s="175" t="s">
        <v>104</v>
      </c>
      <c r="D92" s="208">
        <f>D91+D90+D89+D88+D87+D86+D85</f>
        <v>31500</v>
      </c>
      <c r="E92" s="208">
        <f>E91+E90+E89+E88+E87+E86+E85</f>
        <v>48814.02</v>
      </c>
      <c r="F92" s="208">
        <f>F91+F90+F89+F88+F87+F86+F85</f>
        <v>35901.178999999996</v>
      </c>
      <c r="G92" s="208">
        <f>G91+G90+G89+G88+G87+G86+G85</f>
        <v>32000</v>
      </c>
    </row>
    <row r="93" spans="3:7" ht="15.75" thickBot="1" x14ac:dyDescent="0.3">
      <c r="C93" s="28" t="s">
        <v>93</v>
      </c>
      <c r="D93" s="209">
        <f>IF(D92-D76=0,0,"Error")</f>
        <v>0</v>
      </c>
      <c r="E93" s="209">
        <f>IF(E92-E76=0,0,"Error")</f>
        <v>0</v>
      </c>
      <c r="F93" s="209">
        <f>IF(F92-F76=0,0,"Error")</f>
        <v>0</v>
      </c>
      <c r="G93" s="209">
        <f>IF(G92-G76=0,0,"Error")</f>
        <v>0</v>
      </c>
    </row>
    <row r="94" spans="3:7" ht="15.75" thickBot="1" x14ac:dyDescent="0.3">
      <c r="C94" s="600" t="s">
        <v>105</v>
      </c>
      <c r="D94" s="601"/>
      <c r="E94" s="601"/>
      <c r="F94" s="601"/>
      <c r="G94" s="602"/>
    </row>
    <row r="95" spans="3:7" ht="15.75" thickBot="1" x14ac:dyDescent="0.3">
      <c r="C95" s="600" t="s">
        <v>105</v>
      </c>
      <c r="D95" s="601"/>
      <c r="E95" s="601"/>
      <c r="F95" s="601"/>
      <c r="G95" s="602"/>
    </row>
    <row r="96" spans="3:7" ht="15.75" thickBot="1" x14ac:dyDescent="0.3">
      <c r="C96" s="600" t="s">
        <v>171</v>
      </c>
      <c r="D96" s="601"/>
      <c r="E96" s="601"/>
      <c r="F96" s="601"/>
      <c r="G96" s="602"/>
    </row>
    <row r="97" spans="3:7" ht="15.75" thickBot="1" x14ac:dyDescent="0.3">
      <c r="C97" s="214" t="s">
        <v>260</v>
      </c>
      <c r="D97" s="613" t="s">
        <v>627</v>
      </c>
      <c r="E97" s="614"/>
      <c r="F97" s="614"/>
      <c r="G97" s="615"/>
    </row>
    <row r="98" spans="3:7" ht="15.75" thickBot="1" x14ac:dyDescent="0.3">
      <c r="C98" s="199" t="s">
        <v>116</v>
      </c>
      <c r="D98" s="607" t="s">
        <v>628</v>
      </c>
      <c r="E98" s="608"/>
      <c r="F98" s="608"/>
      <c r="G98" s="609"/>
    </row>
    <row r="99" spans="3:7" ht="15.75" thickBot="1" x14ac:dyDescent="0.3">
      <c r="C99" s="196" t="s">
        <v>73</v>
      </c>
      <c r="D99" s="567" t="s">
        <v>629</v>
      </c>
      <c r="E99" s="568"/>
      <c r="F99" s="568"/>
      <c r="G99" s="569"/>
    </row>
    <row r="100" spans="3:7" ht="15.75" thickBot="1" x14ac:dyDescent="0.3">
      <c r="C100" s="196" t="s">
        <v>75</v>
      </c>
      <c r="D100" s="473" t="s">
        <v>625</v>
      </c>
      <c r="E100" s="474"/>
      <c r="F100" s="474"/>
      <c r="G100" s="475"/>
    </row>
    <row r="101" spans="3:7" x14ac:dyDescent="0.25">
      <c r="C101" s="605"/>
      <c r="D101" s="201">
        <v>2018</v>
      </c>
      <c r="E101" s="201">
        <v>2019</v>
      </c>
      <c r="F101" s="201">
        <v>2020</v>
      </c>
      <c r="G101" s="201">
        <v>2021</v>
      </c>
    </row>
    <row r="102" spans="3:7" ht="15.75" thickBot="1" x14ac:dyDescent="0.3">
      <c r="C102" s="606"/>
      <c r="D102" s="203" t="s">
        <v>42</v>
      </c>
      <c r="E102" s="203" t="s">
        <v>43</v>
      </c>
      <c r="F102" s="203" t="s">
        <v>43</v>
      </c>
      <c r="G102" s="203" t="s">
        <v>43</v>
      </c>
    </row>
    <row r="103" spans="3:7" ht="15.75" thickBot="1" x14ac:dyDescent="0.3">
      <c r="C103" s="196" t="s">
        <v>77</v>
      </c>
      <c r="D103" s="204">
        <v>57</v>
      </c>
      <c r="E103" s="204">
        <v>62.5</v>
      </c>
      <c r="F103" s="204">
        <v>58.823529411764703</v>
      </c>
      <c r="G103" s="204">
        <v>57.142857142857146</v>
      </c>
    </row>
    <row r="104" spans="3:7" ht="15.75" thickBot="1" x14ac:dyDescent="0.3">
      <c r="C104" s="196" t="s">
        <v>78</v>
      </c>
      <c r="D104" s="204">
        <f>100000000/K121</f>
        <v>100000</v>
      </c>
      <c r="E104" s="204">
        <f>100000000/K121</f>
        <v>100000</v>
      </c>
      <c r="F104" s="204">
        <f>100000000/K121</f>
        <v>100000</v>
      </c>
      <c r="G104" s="204">
        <f>100000000/K121</f>
        <v>100000</v>
      </c>
    </row>
    <row r="105" spans="3:7" ht="15.75" thickBot="1" x14ac:dyDescent="0.3">
      <c r="C105" s="196" t="s">
        <v>79</v>
      </c>
      <c r="D105" s="204">
        <f>D104/D103</f>
        <v>1754.3859649122808</v>
      </c>
      <c r="E105" s="204">
        <f>E104/E103</f>
        <v>1600</v>
      </c>
      <c r="F105" s="204">
        <f>F104/F103</f>
        <v>1700</v>
      </c>
      <c r="G105" s="204">
        <f>G104/G103</f>
        <v>1750</v>
      </c>
    </row>
    <row r="106" spans="3:7" ht="15.75" thickBot="1" x14ac:dyDescent="0.3">
      <c r="C106" s="196" t="s">
        <v>80</v>
      </c>
      <c r="D106" s="205" t="s">
        <v>81</v>
      </c>
      <c r="E106" s="206">
        <f t="shared" ref="E106:G108" si="3">E103/D103-1</f>
        <v>9.6491228070175517E-2</v>
      </c>
      <c r="F106" s="206">
        <f t="shared" si="3"/>
        <v>-5.8823529411764719E-2</v>
      </c>
      <c r="G106" s="206">
        <f t="shared" si="3"/>
        <v>-2.857142857142847E-2</v>
      </c>
    </row>
    <row r="107" spans="3:7" ht="15.75" thickBot="1" x14ac:dyDescent="0.3">
      <c r="C107" s="196" t="s">
        <v>82</v>
      </c>
      <c r="D107" s="205" t="s">
        <v>81</v>
      </c>
      <c r="E107" s="206">
        <f t="shared" si="3"/>
        <v>0</v>
      </c>
      <c r="F107" s="206">
        <f t="shared" si="3"/>
        <v>0</v>
      </c>
      <c r="G107" s="206">
        <f t="shared" si="3"/>
        <v>0</v>
      </c>
    </row>
    <row r="108" spans="3:7" ht="15.75" thickBot="1" x14ac:dyDescent="0.3">
      <c r="C108" s="196" t="s">
        <v>83</v>
      </c>
      <c r="D108" s="205" t="s">
        <v>81</v>
      </c>
      <c r="E108" s="206">
        <f t="shared" si="3"/>
        <v>-8.8000000000000078E-2</v>
      </c>
      <c r="F108" s="206">
        <f t="shared" si="3"/>
        <v>6.25E-2</v>
      </c>
      <c r="G108" s="206">
        <f t="shared" si="3"/>
        <v>2.9411764705882248E-2</v>
      </c>
    </row>
    <row r="109" spans="3:7" ht="15.75" thickBot="1" x14ac:dyDescent="0.3">
      <c r="C109" s="610" t="s">
        <v>630</v>
      </c>
      <c r="D109" s="611"/>
      <c r="E109" s="611"/>
      <c r="F109" s="611"/>
      <c r="G109" s="612"/>
    </row>
    <row r="110" spans="3:7" x14ac:dyDescent="0.25">
      <c r="C110" s="605"/>
      <c r="D110" s="201">
        <v>2018</v>
      </c>
      <c r="E110" s="201">
        <v>2019</v>
      </c>
      <c r="F110" s="201">
        <v>2020</v>
      </c>
      <c r="G110" s="201">
        <v>2021</v>
      </c>
    </row>
    <row r="111" spans="3:7" ht="15.75" thickBot="1" x14ac:dyDescent="0.3">
      <c r="C111" s="606"/>
      <c r="D111" s="203" t="s">
        <v>42</v>
      </c>
      <c r="E111" s="203" t="s">
        <v>43</v>
      </c>
      <c r="F111" s="203" t="s">
        <v>43</v>
      </c>
      <c r="G111" s="203" t="s">
        <v>43</v>
      </c>
    </row>
    <row r="112" spans="3:7" ht="15.75" thickBot="1" x14ac:dyDescent="0.3">
      <c r="C112" s="24" t="s">
        <v>170</v>
      </c>
      <c r="D112" s="207"/>
      <c r="E112" s="207"/>
      <c r="F112" s="207"/>
      <c r="G112" s="207"/>
    </row>
    <row r="113" spans="3:11" ht="15.75" thickBot="1" x14ac:dyDescent="0.3">
      <c r="C113" s="24" t="s">
        <v>113</v>
      </c>
      <c r="D113" s="208">
        <f>D104</f>
        <v>100000</v>
      </c>
      <c r="E113" s="208">
        <f>E104</f>
        <v>100000</v>
      </c>
      <c r="F113" s="208">
        <f>F104</f>
        <v>100000</v>
      </c>
      <c r="G113" s="208">
        <f>G104</f>
        <v>100000</v>
      </c>
    </row>
    <row r="114" spans="3:11" ht="15.75" thickBot="1" x14ac:dyDescent="0.3">
      <c r="C114" s="27" t="s">
        <v>265</v>
      </c>
      <c r="D114" s="208">
        <f>D113+D112</f>
        <v>100000</v>
      </c>
      <c r="E114" s="208">
        <f>E113+E112</f>
        <v>100000</v>
      </c>
      <c r="F114" s="208">
        <f>F113+F112</f>
        <v>100000</v>
      </c>
      <c r="G114" s="208">
        <f>G113+G112</f>
        <v>100000</v>
      </c>
    </row>
    <row r="115" spans="3:11" ht="15.75" thickBot="1" x14ac:dyDescent="0.3">
      <c r="C115" s="215" t="s">
        <v>260</v>
      </c>
      <c r="D115" s="616" t="s">
        <v>631</v>
      </c>
      <c r="E115" s="617"/>
      <c r="F115" s="617"/>
      <c r="G115" s="618"/>
    </row>
    <row r="116" spans="3:11" ht="15.75" thickBot="1" x14ac:dyDescent="0.3">
      <c r="C116" s="199" t="s">
        <v>632</v>
      </c>
      <c r="D116" s="600" t="s">
        <v>633</v>
      </c>
      <c r="E116" s="601"/>
      <c r="F116" s="601"/>
      <c r="G116" s="602"/>
    </row>
    <row r="117" spans="3:11" ht="15.75" thickBot="1" x14ac:dyDescent="0.3">
      <c r="C117" s="196" t="s">
        <v>73</v>
      </c>
      <c r="D117" s="567" t="s">
        <v>634</v>
      </c>
      <c r="E117" s="568"/>
      <c r="F117" s="568"/>
      <c r="G117" s="569"/>
    </row>
    <row r="118" spans="3:11" ht="15.75" thickBot="1" x14ac:dyDescent="0.3">
      <c r="C118" s="196" t="s">
        <v>75</v>
      </c>
      <c r="D118" s="473" t="s">
        <v>635</v>
      </c>
      <c r="E118" s="474"/>
      <c r="F118" s="474"/>
      <c r="G118" s="475"/>
    </row>
    <row r="119" spans="3:11" x14ac:dyDescent="0.25">
      <c r="C119" s="605"/>
      <c r="D119" s="201">
        <v>2018</v>
      </c>
      <c r="E119" s="201">
        <v>2019</v>
      </c>
      <c r="F119" s="201">
        <v>2020</v>
      </c>
      <c r="G119" s="201">
        <v>2021</v>
      </c>
    </row>
    <row r="120" spans="3:11" ht="15.75" thickBot="1" x14ac:dyDescent="0.3">
      <c r="C120" s="606"/>
      <c r="D120" s="203" t="s">
        <v>42</v>
      </c>
      <c r="E120" s="203" t="s">
        <v>43</v>
      </c>
      <c r="F120" s="203" t="s">
        <v>43</v>
      </c>
      <c r="G120" s="203" t="s">
        <v>43</v>
      </c>
    </row>
    <row r="121" spans="3:11" ht="15.75" thickBot="1" x14ac:dyDescent="0.3">
      <c r="C121" s="196" t="s">
        <v>77</v>
      </c>
      <c r="D121" s="204">
        <v>300</v>
      </c>
      <c r="E121" s="204">
        <v>272.72727272727275</v>
      </c>
      <c r="F121" s="204">
        <v>272.72727272727275</v>
      </c>
      <c r="G121" s="204">
        <v>250</v>
      </c>
      <c r="K121" s="620">
        <v>1000</v>
      </c>
    </row>
    <row r="122" spans="3:11" ht="15.75" thickBot="1" x14ac:dyDescent="0.3">
      <c r="C122" s="196" t="s">
        <v>78</v>
      </c>
      <c r="D122" s="204">
        <f>150000000/K121</f>
        <v>150000</v>
      </c>
      <c r="E122" s="204">
        <f>150000000/K121</f>
        <v>150000</v>
      </c>
      <c r="F122" s="204">
        <f>150000000/K121</f>
        <v>150000</v>
      </c>
      <c r="G122" s="204">
        <f>150000000/K121</f>
        <v>150000</v>
      </c>
    </row>
    <row r="123" spans="3:11" ht="15.75" thickBot="1" x14ac:dyDescent="0.3">
      <c r="C123" s="196" t="s">
        <v>79</v>
      </c>
      <c r="D123" s="204">
        <f>D122/D121</f>
        <v>500</v>
      </c>
      <c r="E123" s="204">
        <f>E122/E121</f>
        <v>550</v>
      </c>
      <c r="F123" s="204">
        <f>F122/F121</f>
        <v>550</v>
      </c>
      <c r="G123" s="204">
        <f>G122/G121</f>
        <v>600</v>
      </c>
    </row>
    <row r="124" spans="3:11" ht="15.75" thickBot="1" x14ac:dyDescent="0.3">
      <c r="C124" s="196" t="s">
        <v>80</v>
      </c>
      <c r="D124" s="205" t="s">
        <v>81</v>
      </c>
      <c r="E124" s="206">
        <f t="shared" ref="E124:G126" si="4">E121/D121-1</f>
        <v>-9.0909090909090828E-2</v>
      </c>
      <c r="F124" s="206">
        <f t="shared" si="4"/>
        <v>0</v>
      </c>
      <c r="G124" s="206">
        <f t="shared" si="4"/>
        <v>-8.333333333333337E-2</v>
      </c>
    </row>
    <row r="125" spans="3:11" ht="15.75" thickBot="1" x14ac:dyDescent="0.3">
      <c r="C125" s="196" t="s">
        <v>82</v>
      </c>
      <c r="D125" s="205" t="s">
        <v>81</v>
      </c>
      <c r="E125" s="206">
        <f t="shared" si="4"/>
        <v>0</v>
      </c>
      <c r="F125" s="206">
        <f t="shared" si="4"/>
        <v>0</v>
      </c>
      <c r="G125" s="206">
        <f t="shared" si="4"/>
        <v>0</v>
      </c>
    </row>
    <row r="126" spans="3:11" ht="15.75" thickBot="1" x14ac:dyDescent="0.3">
      <c r="C126" s="196" t="s">
        <v>83</v>
      </c>
      <c r="D126" s="205" t="s">
        <v>81</v>
      </c>
      <c r="E126" s="206">
        <f t="shared" si="4"/>
        <v>0.10000000000000009</v>
      </c>
      <c r="F126" s="206">
        <f t="shared" si="4"/>
        <v>0</v>
      </c>
      <c r="G126" s="206">
        <f t="shared" si="4"/>
        <v>9.0909090909090828E-2</v>
      </c>
    </row>
    <row r="127" spans="3:11" ht="15.75" thickBot="1" x14ac:dyDescent="0.3">
      <c r="C127" s="211"/>
      <c r="D127" s="212"/>
      <c r="E127" s="213"/>
      <c r="F127" s="213"/>
      <c r="G127" s="206"/>
    </row>
    <row r="128" spans="3:11" ht="15.75" thickBot="1" x14ac:dyDescent="0.3">
      <c r="C128" s="211"/>
      <c r="D128" s="212"/>
      <c r="E128" s="213"/>
      <c r="F128" s="213"/>
      <c r="G128" s="206"/>
    </row>
    <row r="129" spans="3:7" ht="15.75" thickBot="1" x14ac:dyDescent="0.3">
      <c r="C129" s="610" t="s">
        <v>636</v>
      </c>
      <c r="D129" s="611"/>
      <c r="E129" s="611"/>
      <c r="F129" s="611"/>
      <c r="G129" s="612"/>
    </row>
    <row r="130" spans="3:7" x14ac:dyDescent="0.25">
      <c r="C130" s="605"/>
      <c r="D130" s="201">
        <v>2018</v>
      </c>
      <c r="E130" s="201">
        <v>2019</v>
      </c>
      <c r="F130" s="201">
        <v>2020</v>
      </c>
      <c r="G130" s="201">
        <v>2021</v>
      </c>
    </row>
    <row r="131" spans="3:7" ht="15.75" thickBot="1" x14ac:dyDescent="0.3">
      <c r="C131" s="606"/>
      <c r="D131" s="203" t="s">
        <v>42</v>
      </c>
      <c r="E131" s="203" t="s">
        <v>43</v>
      </c>
      <c r="F131" s="203" t="s">
        <v>43</v>
      </c>
      <c r="G131" s="203" t="s">
        <v>43</v>
      </c>
    </row>
    <row r="132" spans="3:7" ht="15.75" thickBot="1" x14ac:dyDescent="0.3">
      <c r="C132" s="24" t="s">
        <v>170</v>
      </c>
      <c r="D132" s="207"/>
      <c r="E132" s="207"/>
      <c r="F132" s="207"/>
      <c r="G132" s="207"/>
    </row>
    <row r="133" spans="3:7" ht="15.75" thickBot="1" x14ac:dyDescent="0.3">
      <c r="C133" s="24" t="s">
        <v>113</v>
      </c>
      <c r="D133" s="208">
        <f>D122</f>
        <v>150000</v>
      </c>
      <c r="E133" s="208">
        <f>E122</f>
        <v>150000</v>
      </c>
      <c r="F133" s="208">
        <f>F122</f>
        <v>150000</v>
      </c>
      <c r="G133" s="208">
        <f>G122</f>
        <v>150000</v>
      </c>
    </row>
    <row r="134" spans="3:7" ht="15.75" thickBot="1" x14ac:dyDescent="0.3">
      <c r="C134" s="27" t="s">
        <v>270</v>
      </c>
      <c r="D134" s="208">
        <f>D132+D133</f>
        <v>150000</v>
      </c>
      <c r="E134" s="208">
        <f>E132+E133</f>
        <v>150000</v>
      </c>
      <c r="F134" s="208">
        <f>F132+F133</f>
        <v>150000</v>
      </c>
      <c r="G134" s="208">
        <f>G132+G133</f>
        <v>150000</v>
      </c>
    </row>
    <row r="135" spans="3:7" ht="15.75" thickBot="1" x14ac:dyDescent="0.3">
      <c r="C135" s="61"/>
      <c r="D135" s="607"/>
      <c r="E135" s="608"/>
      <c r="F135" s="608"/>
      <c r="G135" s="609"/>
    </row>
    <row r="136" spans="3:7" ht="15.75" thickBot="1" x14ac:dyDescent="0.3">
      <c r="C136" s="196"/>
      <c r="D136" s="205"/>
      <c r="E136" s="206"/>
      <c r="F136" s="206"/>
      <c r="G136" s="206"/>
    </row>
    <row r="137" spans="3:7" ht="15.75" thickBot="1" x14ac:dyDescent="0.3"/>
    <row r="138" spans="3:7" ht="15.75" thickBot="1" x14ac:dyDescent="0.3">
      <c r="C138" s="61"/>
      <c r="D138" s="607"/>
      <c r="E138" s="608"/>
      <c r="F138" s="608"/>
      <c r="G138" s="609"/>
    </row>
    <row r="139" spans="3:7" ht="15.75" thickBot="1" x14ac:dyDescent="0.3">
      <c r="C139" s="33"/>
      <c r="D139" s="216"/>
      <c r="E139" s="216"/>
      <c r="F139" s="216"/>
      <c r="G139" s="216"/>
    </row>
    <row r="140" spans="3:7" ht="15.75" thickBot="1" x14ac:dyDescent="0.3">
      <c r="C140" s="51" t="s">
        <v>122</v>
      </c>
      <c r="D140" s="217">
        <f>D30+D53+D76+D104+D122</f>
        <v>549999.99999999977</v>
      </c>
      <c r="E140" s="217">
        <f>E30+E53+E76+E104+E122</f>
        <v>550000.00011000002</v>
      </c>
      <c r="F140" s="217">
        <f>F30+F53+F76+F104+F122</f>
        <v>550000.00030339998</v>
      </c>
      <c r="G140" s="217">
        <f>G30+G53+G76+G104+G122</f>
        <v>560000.000025196</v>
      </c>
    </row>
    <row r="141" spans="3:7" ht="15.75" thickBot="1" x14ac:dyDescent="0.3">
      <c r="C141" s="51" t="s">
        <v>123</v>
      </c>
      <c r="D141" s="217">
        <f>D143+D145+D147+D149+D151+D153+D155+D157+D159</f>
        <v>549999.99999999977</v>
      </c>
      <c r="E141" s="217">
        <f>E143+E145+E147+E149+E151+E153+E155+E157+E159</f>
        <v>550000.00011000002</v>
      </c>
      <c r="F141" s="217">
        <f>F143+F145+F147+F149+F151+F153+F155+F157+F159</f>
        <v>550000.00030339998</v>
      </c>
      <c r="G141" s="217">
        <f>G143+G145+G147+G149+G151+G153+G155+G157+G159</f>
        <v>560000.000025196</v>
      </c>
    </row>
    <row r="142" spans="3:7" ht="15.75" thickBot="1" x14ac:dyDescent="0.3">
      <c r="C142" s="79" t="s">
        <v>124</v>
      </c>
      <c r="D142" s="218"/>
      <c r="E142" s="219">
        <f>E141/D141-1</f>
        <v>2.0000046063728405E-10</v>
      </c>
      <c r="F142" s="219">
        <f>F141/E141-1</f>
        <v>3.5163627565282241E-10</v>
      </c>
      <c r="G142" s="219">
        <f>G141/F141-1</f>
        <v>1.818181766596294E-2</v>
      </c>
    </row>
    <row r="143" spans="3:7" ht="15.75" thickBot="1" x14ac:dyDescent="0.3">
      <c r="C143" s="24" t="s">
        <v>85</v>
      </c>
      <c r="D143" s="207">
        <v>0</v>
      </c>
      <c r="E143" s="207">
        <v>0</v>
      </c>
      <c r="F143" s="207">
        <v>0</v>
      </c>
      <c r="G143" s="207">
        <v>0</v>
      </c>
    </row>
    <row r="144" spans="3:7" ht="15.75" thickBot="1" x14ac:dyDescent="0.3">
      <c r="C144" s="82" t="s">
        <v>125</v>
      </c>
      <c r="D144" s="208"/>
      <c r="E144" s="220">
        <v>0</v>
      </c>
      <c r="F144" s="220">
        <v>0</v>
      </c>
      <c r="G144" s="220">
        <v>0</v>
      </c>
    </row>
    <row r="145" spans="3:7" ht="15.75" thickBot="1" x14ac:dyDescent="0.3">
      <c r="C145" s="24" t="s">
        <v>86</v>
      </c>
      <c r="D145" s="207">
        <v>0</v>
      </c>
      <c r="E145" s="207">
        <v>0</v>
      </c>
      <c r="F145" s="207">
        <v>0</v>
      </c>
      <c r="G145" s="207">
        <v>0</v>
      </c>
    </row>
    <row r="146" spans="3:7" ht="15.75" thickBot="1" x14ac:dyDescent="0.3">
      <c r="C146" s="82" t="s">
        <v>126</v>
      </c>
      <c r="D146" s="208"/>
      <c r="E146" s="220">
        <v>0</v>
      </c>
      <c r="F146" s="220">
        <v>0</v>
      </c>
      <c r="G146" s="220">
        <v>0</v>
      </c>
    </row>
    <row r="147" spans="3:7" ht="15.75" thickBot="1" x14ac:dyDescent="0.3">
      <c r="C147" s="24" t="s">
        <v>87</v>
      </c>
      <c r="D147" s="207">
        <v>0</v>
      </c>
      <c r="E147" s="207">
        <v>0</v>
      </c>
      <c r="F147" s="207">
        <v>0</v>
      </c>
      <c r="G147" s="207">
        <v>0</v>
      </c>
    </row>
    <row r="148" spans="3:7" ht="15.75" thickBot="1" x14ac:dyDescent="0.3">
      <c r="C148" s="82" t="s">
        <v>127</v>
      </c>
      <c r="D148" s="208"/>
      <c r="E148" s="220">
        <v>0</v>
      </c>
      <c r="F148" s="220">
        <v>0</v>
      </c>
      <c r="G148" s="220">
        <v>0</v>
      </c>
    </row>
    <row r="149" spans="3:7" ht="15.75" thickBot="1" x14ac:dyDescent="0.3">
      <c r="C149" s="24" t="s">
        <v>88</v>
      </c>
      <c r="D149" s="207">
        <v>0</v>
      </c>
      <c r="E149" s="207">
        <v>0</v>
      </c>
      <c r="F149" s="207">
        <v>0</v>
      </c>
      <c r="G149" s="207">
        <v>0</v>
      </c>
    </row>
    <row r="150" spans="3:7" ht="15.75" thickBot="1" x14ac:dyDescent="0.3">
      <c r="C150" s="82" t="s">
        <v>231</v>
      </c>
      <c r="D150" s="208"/>
      <c r="E150" s="220">
        <v>0</v>
      </c>
      <c r="F150" s="220">
        <v>0</v>
      </c>
      <c r="G150" s="220">
        <v>0</v>
      </c>
    </row>
    <row r="151" spans="3:7" ht="15.75" thickBot="1" x14ac:dyDescent="0.3">
      <c r="C151" s="24" t="s">
        <v>89</v>
      </c>
      <c r="D151" s="207">
        <v>0</v>
      </c>
      <c r="E151" s="207">
        <v>0</v>
      </c>
      <c r="F151" s="207">
        <v>0</v>
      </c>
      <c r="G151" s="207">
        <v>0</v>
      </c>
    </row>
    <row r="152" spans="3:7" ht="15.75" thickBot="1" x14ac:dyDescent="0.3">
      <c r="C152" s="82" t="s">
        <v>232</v>
      </c>
      <c r="D152" s="208"/>
      <c r="E152" s="220">
        <v>0</v>
      </c>
      <c r="F152" s="220">
        <v>0</v>
      </c>
      <c r="G152" s="220">
        <v>0</v>
      </c>
    </row>
    <row r="153" spans="3:7" ht="15.75" thickBot="1" x14ac:dyDescent="0.3">
      <c r="C153" s="24" t="s">
        <v>90</v>
      </c>
      <c r="D153" s="207">
        <v>0</v>
      </c>
      <c r="E153" s="207">
        <v>0</v>
      </c>
      <c r="F153" s="207">
        <v>0</v>
      </c>
      <c r="G153" s="207">
        <v>0</v>
      </c>
    </row>
    <row r="154" spans="3:7" ht="15.75" thickBot="1" x14ac:dyDescent="0.3">
      <c r="C154" s="82" t="s">
        <v>233</v>
      </c>
      <c r="D154" s="208"/>
      <c r="E154" s="220">
        <v>0</v>
      </c>
      <c r="F154" s="220">
        <v>0</v>
      </c>
      <c r="G154" s="220">
        <v>0</v>
      </c>
    </row>
    <row r="155" spans="3:7" ht="15.75" thickBot="1" x14ac:dyDescent="0.3">
      <c r="C155" s="24" t="s">
        <v>91</v>
      </c>
      <c r="D155" s="207">
        <f>D67+D44+D91</f>
        <v>299999.99999999971</v>
      </c>
      <c r="E155" s="207">
        <f>E67+E44+E91</f>
        <v>300000.00011000002</v>
      </c>
      <c r="F155" s="207">
        <f>F67+F44+F91</f>
        <v>300000.00030339998</v>
      </c>
      <c r="G155" s="207">
        <f>G67+G44+G91</f>
        <v>310000.000025196</v>
      </c>
    </row>
    <row r="156" spans="3:7" ht="15.75" thickBot="1" x14ac:dyDescent="0.3">
      <c r="C156" s="82" t="s">
        <v>234</v>
      </c>
      <c r="D156" s="208"/>
      <c r="E156" s="220">
        <f>E155/D155-1</f>
        <v>3.6666780722782732E-10</v>
      </c>
      <c r="F156" s="220">
        <f>F155/E155-1</f>
        <v>6.446665423709419E-10</v>
      </c>
      <c r="G156" s="220">
        <f>G155/F155-1</f>
        <v>3.3333332372275537E-2</v>
      </c>
    </row>
    <row r="157" spans="3:7" ht="15.75" thickBot="1" x14ac:dyDescent="0.3">
      <c r="C157" s="24" t="s">
        <v>128</v>
      </c>
      <c r="D157" s="207">
        <v>0</v>
      </c>
      <c r="E157" s="207">
        <v>0</v>
      </c>
      <c r="F157" s="207">
        <v>0</v>
      </c>
      <c r="G157" s="207">
        <v>0</v>
      </c>
    </row>
    <row r="158" spans="3:7" ht="15.75" thickBot="1" x14ac:dyDescent="0.3">
      <c r="C158" s="82" t="s">
        <v>129</v>
      </c>
      <c r="D158" s="208"/>
      <c r="E158" s="220">
        <v>0</v>
      </c>
      <c r="F158" s="220">
        <v>0</v>
      </c>
      <c r="G158" s="220">
        <v>0</v>
      </c>
    </row>
    <row r="159" spans="3:7" ht="15.75" thickBot="1" x14ac:dyDescent="0.3">
      <c r="C159" s="24" t="s">
        <v>235</v>
      </c>
      <c r="D159" s="207">
        <f>D104+D122</f>
        <v>250000</v>
      </c>
      <c r="E159" s="207">
        <f>E104+E122</f>
        <v>250000</v>
      </c>
      <c r="F159" s="207">
        <f>F104+F122</f>
        <v>250000</v>
      </c>
      <c r="G159" s="207">
        <f>G104+G122</f>
        <v>250000</v>
      </c>
    </row>
    <row r="160" spans="3:7" ht="15.75" thickBot="1" x14ac:dyDescent="0.3">
      <c r="C160" s="82" t="s">
        <v>236</v>
      </c>
      <c r="D160" s="208"/>
      <c r="E160" s="220">
        <f>E159/D159-1</f>
        <v>0</v>
      </c>
      <c r="F160" s="220">
        <f>F159/E159-1</f>
        <v>0</v>
      </c>
      <c r="G160" s="220">
        <f>G159/F159-1</f>
        <v>0</v>
      </c>
    </row>
    <row r="161" spans="3:7" ht="15.75" thickBot="1" x14ac:dyDescent="0.3">
      <c r="C161" s="28" t="s">
        <v>93</v>
      </c>
      <c r="D161" s="209">
        <f>IF(D141-D140=0,0,"Error")</f>
        <v>0</v>
      </c>
      <c r="E161" s="209">
        <f>IF(E141-E140=0,0,"Error")</f>
        <v>0</v>
      </c>
      <c r="F161" s="209">
        <f>IF(F141-F140=0,0,"Error")</f>
        <v>0</v>
      </c>
      <c r="G161" s="209">
        <f>IF(G141-G140=0,0,"Error")</f>
        <v>0</v>
      </c>
    </row>
    <row r="162" spans="3:7" ht="15.75" thickBot="1" x14ac:dyDescent="0.3">
      <c r="C162" s="45" t="s">
        <v>130</v>
      </c>
      <c r="D162" s="207" t="s">
        <v>81</v>
      </c>
      <c r="E162" s="207" t="s">
        <v>81</v>
      </c>
      <c r="F162" s="207" t="s">
        <v>81</v>
      </c>
      <c r="G162" s="207" t="s">
        <v>81</v>
      </c>
    </row>
    <row r="163" spans="3:7" ht="15.75" thickBot="1" x14ac:dyDescent="0.3">
      <c r="C163" s="45" t="s">
        <v>131</v>
      </c>
      <c r="D163" s="207" t="s">
        <v>81</v>
      </c>
      <c r="E163" s="207" t="s">
        <v>81</v>
      </c>
      <c r="F163" s="207" t="s">
        <v>81</v>
      </c>
      <c r="G163" s="207" t="s">
        <v>81</v>
      </c>
    </row>
  </sheetData>
  <mergeCells count="48">
    <mergeCell ref="D138:G138"/>
    <mergeCell ref="C101:C102"/>
    <mergeCell ref="C109:G109"/>
    <mergeCell ref="C110:C111"/>
    <mergeCell ref="D115:G115"/>
    <mergeCell ref="D116:G116"/>
    <mergeCell ref="D117:G117"/>
    <mergeCell ref="D118:G118"/>
    <mergeCell ref="C119:C120"/>
    <mergeCell ref="C129:G129"/>
    <mergeCell ref="C130:C131"/>
    <mergeCell ref="D135:G135"/>
    <mergeCell ref="D100:G100"/>
    <mergeCell ref="D71:G71"/>
    <mergeCell ref="D72:G72"/>
    <mergeCell ref="C73:C74"/>
    <mergeCell ref="C82:G82"/>
    <mergeCell ref="C83:C84"/>
    <mergeCell ref="C94:G94"/>
    <mergeCell ref="C95:G95"/>
    <mergeCell ref="C96:G96"/>
    <mergeCell ref="D97:G97"/>
    <mergeCell ref="D98:G98"/>
    <mergeCell ref="D99:G99"/>
    <mergeCell ref="D70:G70"/>
    <mergeCell ref="D24:G24"/>
    <mergeCell ref="D25:G25"/>
    <mergeCell ref="D26:G26"/>
    <mergeCell ref="C35:G35"/>
    <mergeCell ref="C36:C37"/>
    <mergeCell ref="D47:G47"/>
    <mergeCell ref="D48:G48"/>
    <mergeCell ref="D49:G49"/>
    <mergeCell ref="C50:C51"/>
    <mergeCell ref="C58:G58"/>
    <mergeCell ref="C59:C60"/>
    <mergeCell ref="C23:G23"/>
    <mergeCell ref="C2:G2"/>
    <mergeCell ref="D4:G4"/>
    <mergeCell ref="D5:G5"/>
    <mergeCell ref="D6:G6"/>
    <mergeCell ref="C7:G7"/>
    <mergeCell ref="C8:G10"/>
    <mergeCell ref="D11:G11"/>
    <mergeCell ref="C12:C13"/>
    <mergeCell ref="D17:G17"/>
    <mergeCell ref="C18:G18"/>
    <mergeCell ref="C22:G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163"/>
  <sheetViews>
    <sheetView topLeftCell="B151" zoomScale="140" zoomScaleNormal="140" workbookViewId="0">
      <selection activeCell="G177" sqref="G177"/>
    </sheetView>
  </sheetViews>
  <sheetFormatPr defaultRowHeight="15" x14ac:dyDescent="0.25"/>
  <cols>
    <col min="2" max="2" width="11" customWidth="1"/>
    <col min="3" max="3" width="33.140625" customWidth="1"/>
    <col min="4" max="4" width="26.5703125" customWidth="1"/>
    <col min="5" max="8" width="21.42578125" customWidth="1"/>
    <col min="10" max="10" width="18.42578125" customWidth="1"/>
  </cols>
  <sheetData>
    <row r="2" spans="3:7" x14ac:dyDescent="0.25">
      <c r="C2" s="8" t="str">
        <f>'[1]Formati 2.1 Sipas Tavaneve'!$C$2</f>
        <v xml:space="preserve">FORMAT 2.1 : FORMATI STANDARD I PËRGATITJES SË KËRKESAVE BUXHETORE PBA 2019-2021 </v>
      </c>
    </row>
    <row r="3" spans="3:7" ht="15.75" thickBot="1" x14ac:dyDescent="0.3"/>
    <row r="4" spans="3:7" ht="15.75" thickBot="1" x14ac:dyDescent="0.3">
      <c r="C4" s="9" t="s">
        <v>34</v>
      </c>
      <c r="D4" s="306" t="s">
        <v>35</v>
      </c>
      <c r="E4" s="307"/>
      <c r="F4" s="307"/>
      <c r="G4" s="308"/>
    </row>
    <row r="5" spans="3:7" ht="15.75" thickBot="1" x14ac:dyDescent="0.3">
      <c r="C5" s="9" t="s">
        <v>6</v>
      </c>
      <c r="D5" s="309" t="s">
        <v>12</v>
      </c>
      <c r="E5" s="310"/>
      <c r="F5" s="310"/>
      <c r="G5" s="311"/>
    </row>
    <row r="6" spans="3:7" ht="15.75" thickBot="1" x14ac:dyDescent="0.3">
      <c r="C6" s="9" t="s">
        <v>36</v>
      </c>
      <c r="D6" s="312" t="s">
        <v>37</v>
      </c>
      <c r="E6" s="313"/>
      <c r="F6" s="313"/>
      <c r="G6" s="314"/>
    </row>
    <row r="7" spans="3:7" ht="15.75" thickBot="1" x14ac:dyDescent="0.3">
      <c r="C7" s="315" t="s">
        <v>7</v>
      </c>
      <c r="D7" s="316"/>
      <c r="E7" s="316"/>
      <c r="F7" s="316"/>
      <c r="G7" s="317"/>
    </row>
    <row r="8" spans="3:7" ht="15" customHeight="1" x14ac:dyDescent="0.25">
      <c r="C8" s="318" t="s">
        <v>38</v>
      </c>
      <c r="D8" s="319"/>
      <c r="E8" s="319"/>
      <c r="F8" s="319"/>
      <c r="G8" s="320"/>
    </row>
    <row r="9" spans="3:7" x14ac:dyDescent="0.25">
      <c r="C9" s="321"/>
      <c r="D9" s="322"/>
      <c r="E9" s="322"/>
      <c r="F9" s="322"/>
      <c r="G9" s="323"/>
    </row>
    <row r="10" spans="3:7" ht="15.75" thickBot="1" x14ac:dyDescent="0.3">
      <c r="C10" s="324"/>
      <c r="D10" s="325"/>
      <c r="E10" s="325"/>
      <c r="F10" s="325"/>
      <c r="G10" s="326"/>
    </row>
    <row r="11" spans="3:7" ht="15.75" customHeight="1" thickBot="1" x14ac:dyDescent="0.3">
      <c r="C11" s="10" t="s">
        <v>39</v>
      </c>
      <c r="D11" s="327" t="s">
        <v>40</v>
      </c>
      <c r="E11" s="328"/>
      <c r="F11" s="328"/>
      <c r="G11" s="329"/>
    </row>
    <row r="12" spans="3:7" x14ac:dyDescent="0.25">
      <c r="C12" s="330" t="s">
        <v>41</v>
      </c>
      <c r="D12" s="130">
        <v>2018</v>
      </c>
      <c r="E12" s="130">
        <v>2019</v>
      </c>
      <c r="F12" s="130">
        <v>2020</v>
      </c>
      <c r="G12" s="130">
        <v>2021</v>
      </c>
    </row>
    <row r="13" spans="3:7" ht="15.75" thickBot="1" x14ac:dyDescent="0.3">
      <c r="C13" s="331"/>
      <c r="D13" s="131" t="s">
        <v>42</v>
      </c>
      <c r="E13" s="131" t="s">
        <v>43</v>
      </c>
      <c r="F13" s="131" t="s">
        <v>43</v>
      </c>
      <c r="G13" s="131" t="s">
        <v>43</v>
      </c>
    </row>
    <row r="14" spans="3:7" ht="15.75" thickBot="1" x14ac:dyDescent="0.3">
      <c r="C14" s="11" t="s">
        <v>44</v>
      </c>
      <c r="D14" s="12">
        <v>4.2000000000000003E-2</v>
      </c>
      <c r="E14" s="12">
        <v>4.2999999999999997E-2</v>
      </c>
      <c r="F14" s="12">
        <v>4.3999999999999997E-2</v>
      </c>
      <c r="G14" s="12">
        <v>4.2999999999999997E-2</v>
      </c>
    </row>
    <row r="15" spans="3:7" ht="26.25" thickBot="1" x14ac:dyDescent="0.3">
      <c r="C15" s="11" t="s">
        <v>45</v>
      </c>
      <c r="D15" s="12">
        <v>0.68700000000000006</v>
      </c>
      <c r="E15" s="12">
        <v>0.66400000000000003</v>
      </c>
      <c r="F15" s="12">
        <v>0.63500000000000001</v>
      </c>
      <c r="G15" s="12">
        <v>0.59899999999999998</v>
      </c>
    </row>
    <row r="16" spans="3:7" ht="21" customHeight="1" thickBot="1" x14ac:dyDescent="0.3">
      <c r="C16" s="51" t="s">
        <v>46</v>
      </c>
      <c r="D16" s="332" t="s">
        <v>47</v>
      </c>
      <c r="E16" s="333"/>
      <c r="F16" s="333"/>
      <c r="G16" s="334"/>
    </row>
    <row r="17" spans="3:7" ht="15.75" thickBot="1" x14ac:dyDescent="0.3">
      <c r="C17" s="335" t="s">
        <v>48</v>
      </c>
      <c r="D17" s="336"/>
      <c r="E17" s="336"/>
      <c r="F17" s="336"/>
      <c r="G17" s="337"/>
    </row>
    <row r="18" spans="3:7" ht="23.25" thickBot="1" x14ac:dyDescent="0.3">
      <c r="C18" s="260" t="s">
        <v>49</v>
      </c>
      <c r="D18" s="13">
        <v>0.27700000000000002</v>
      </c>
      <c r="E18" s="14" t="s">
        <v>50</v>
      </c>
      <c r="F18" s="14" t="s">
        <v>50</v>
      </c>
      <c r="G18" s="14" t="s">
        <v>50</v>
      </c>
    </row>
    <row r="19" spans="3:7" ht="23.25" customHeight="1" thickBot="1" x14ac:dyDescent="0.3">
      <c r="C19" s="261" t="s">
        <v>51</v>
      </c>
      <c r="D19" s="14" t="s">
        <v>52</v>
      </c>
      <c r="E19" s="14" t="s">
        <v>53</v>
      </c>
      <c r="F19" s="14" t="s">
        <v>54</v>
      </c>
      <c r="G19" s="14" t="s">
        <v>55</v>
      </c>
    </row>
    <row r="20" spans="3:7" ht="45.75" customHeight="1" thickBot="1" x14ac:dyDescent="0.3">
      <c r="C20" s="261" t="s">
        <v>56</v>
      </c>
      <c r="D20" s="14">
        <v>0.52</v>
      </c>
      <c r="E20" s="14">
        <v>0.54</v>
      </c>
      <c r="F20" s="14">
        <v>0.56000000000000005</v>
      </c>
      <c r="G20" s="14">
        <v>0.57999999999999996</v>
      </c>
    </row>
    <row r="21" spans="3:7" ht="42.75" customHeight="1" thickBot="1" x14ac:dyDescent="0.3">
      <c r="C21" s="261" t="s">
        <v>57</v>
      </c>
      <c r="D21" s="13">
        <v>5.6000000000000001E-2</v>
      </c>
      <c r="E21" s="14" t="s">
        <v>58</v>
      </c>
      <c r="F21" s="14" t="s">
        <v>58</v>
      </c>
      <c r="G21" s="14" t="s">
        <v>58</v>
      </c>
    </row>
    <row r="22" spans="3:7" ht="34.5" customHeight="1" thickBot="1" x14ac:dyDescent="0.3">
      <c r="C22" s="261" t="s">
        <v>59</v>
      </c>
      <c r="D22" s="13">
        <v>-6.0000000000000001E-3</v>
      </c>
      <c r="E22" s="14" t="s">
        <v>53</v>
      </c>
      <c r="F22" s="14" t="s">
        <v>53</v>
      </c>
      <c r="G22" s="14" t="s">
        <v>53</v>
      </c>
    </row>
    <row r="23" spans="3:7" ht="23.25" thickBot="1" x14ac:dyDescent="0.3">
      <c r="C23" s="261" t="s">
        <v>60</v>
      </c>
      <c r="D23" s="14" t="s">
        <v>61</v>
      </c>
      <c r="E23" s="14" t="s">
        <v>62</v>
      </c>
      <c r="F23" s="14" t="s">
        <v>62</v>
      </c>
      <c r="G23" s="14" t="s">
        <v>62</v>
      </c>
    </row>
    <row r="24" spans="3:7" ht="23.25" customHeight="1" thickBot="1" x14ac:dyDescent="0.3">
      <c r="C24" s="261" t="s">
        <v>63</v>
      </c>
      <c r="D24" s="13">
        <v>4.4999999999999998E-2</v>
      </c>
      <c r="E24" s="14" t="s">
        <v>50</v>
      </c>
      <c r="F24" s="14" t="s">
        <v>50</v>
      </c>
      <c r="G24" s="14" t="s">
        <v>50</v>
      </c>
    </row>
    <row r="25" spans="3:7" ht="23.25" thickBot="1" x14ac:dyDescent="0.3">
      <c r="C25" s="261" t="s">
        <v>64</v>
      </c>
      <c r="D25" s="15">
        <v>0</v>
      </c>
      <c r="E25" s="14" t="s">
        <v>65</v>
      </c>
      <c r="F25" s="14" t="s">
        <v>65</v>
      </c>
      <c r="G25" s="14" t="s">
        <v>65</v>
      </c>
    </row>
    <row r="26" spans="3:7" ht="23.25" thickBot="1" x14ac:dyDescent="0.3">
      <c r="C26" s="261" t="s">
        <v>66</v>
      </c>
      <c r="D26" s="13" t="s">
        <v>67</v>
      </c>
      <c r="E26" s="14" t="s">
        <v>50</v>
      </c>
      <c r="F26" s="14" t="s">
        <v>50</v>
      </c>
      <c r="G26" s="14" t="s">
        <v>50</v>
      </c>
    </row>
    <row r="27" spans="3:7" ht="34.5" thickBot="1" x14ac:dyDescent="0.3">
      <c r="C27" s="261" t="s">
        <v>68</v>
      </c>
      <c r="D27" s="16">
        <v>28</v>
      </c>
      <c r="E27" s="17" t="s">
        <v>50</v>
      </c>
      <c r="F27" s="17" t="s">
        <v>50</v>
      </c>
      <c r="G27" s="17" t="s">
        <v>50</v>
      </c>
    </row>
    <row r="28" spans="3:7" ht="15.75" thickBot="1" x14ac:dyDescent="0.3">
      <c r="C28" s="303" t="s">
        <v>69</v>
      </c>
      <c r="D28" s="304"/>
      <c r="E28" s="304"/>
      <c r="F28" s="304"/>
      <c r="G28" s="305"/>
    </row>
    <row r="29" spans="3:7" ht="15.75" thickBot="1" x14ac:dyDescent="0.3">
      <c r="C29" s="341" t="s">
        <v>70</v>
      </c>
      <c r="D29" s="342"/>
      <c r="E29" s="342"/>
      <c r="F29" s="342"/>
      <c r="G29" s="343"/>
    </row>
    <row r="30" spans="3:7" ht="15.75" customHeight="1" thickBot="1" x14ac:dyDescent="0.3">
      <c r="C30" s="18" t="s">
        <v>71</v>
      </c>
      <c r="D30" s="344" t="s">
        <v>72</v>
      </c>
      <c r="E30" s="345"/>
      <c r="F30" s="345"/>
      <c r="G30" s="346"/>
    </row>
    <row r="31" spans="3:7" ht="15.75" customHeight="1" thickBot="1" x14ac:dyDescent="0.3">
      <c r="C31" s="19" t="s">
        <v>73</v>
      </c>
      <c r="D31" s="335" t="s">
        <v>74</v>
      </c>
      <c r="E31" s="336"/>
      <c r="F31" s="336"/>
      <c r="G31" s="337"/>
    </row>
    <row r="32" spans="3:7" ht="15.75" thickBot="1" x14ac:dyDescent="0.3">
      <c r="C32" s="19" t="s">
        <v>75</v>
      </c>
      <c r="D32" s="347" t="s">
        <v>76</v>
      </c>
      <c r="E32" s="348"/>
      <c r="F32" s="348"/>
      <c r="G32" s="349"/>
    </row>
    <row r="33" spans="3:7" x14ac:dyDescent="0.25">
      <c r="C33" s="350"/>
      <c r="D33" s="20">
        <v>2018</v>
      </c>
      <c r="E33" s="20">
        <v>2019</v>
      </c>
      <c r="F33" s="20">
        <v>2020</v>
      </c>
      <c r="G33" s="20">
        <v>2021</v>
      </c>
    </row>
    <row r="34" spans="3:7" ht="15.75" thickBot="1" x14ac:dyDescent="0.3">
      <c r="C34" s="351"/>
      <c r="D34" s="21" t="s">
        <v>42</v>
      </c>
      <c r="E34" s="21" t="s">
        <v>43</v>
      </c>
      <c r="F34" s="21" t="s">
        <v>43</v>
      </c>
      <c r="G34" s="21" t="s">
        <v>43</v>
      </c>
    </row>
    <row r="35" spans="3:7" ht="15.75" thickBot="1" x14ac:dyDescent="0.3">
      <c r="C35" s="19" t="s">
        <v>77</v>
      </c>
      <c r="D35" s="22">
        <v>11</v>
      </c>
      <c r="E35" s="22">
        <v>11</v>
      </c>
      <c r="F35" s="22">
        <v>11</v>
      </c>
      <c r="G35" s="22">
        <v>11</v>
      </c>
    </row>
    <row r="36" spans="3:7" ht="15.75" thickBot="1" x14ac:dyDescent="0.3">
      <c r="C36" s="19" t="s">
        <v>78</v>
      </c>
      <c r="D36" s="22">
        <v>102500</v>
      </c>
      <c r="E36" s="22">
        <v>57000</v>
      </c>
      <c r="F36" s="22">
        <v>58000</v>
      </c>
      <c r="G36" s="22">
        <v>104000</v>
      </c>
    </row>
    <row r="37" spans="3:7" ht="15.75" thickBot="1" x14ac:dyDescent="0.3">
      <c r="C37" s="19" t="s">
        <v>79</v>
      </c>
      <c r="D37" s="22">
        <f>D36/D35</f>
        <v>9318.181818181818</v>
      </c>
      <c r="E37" s="22">
        <f t="shared" ref="E37:G37" si="0">E36/E35</f>
        <v>5181.818181818182</v>
      </c>
      <c r="F37" s="22">
        <f t="shared" si="0"/>
        <v>5272.727272727273</v>
      </c>
      <c r="G37" s="22">
        <f t="shared" si="0"/>
        <v>9454.545454545454</v>
      </c>
    </row>
    <row r="38" spans="3:7" ht="15.75" thickBot="1" x14ac:dyDescent="0.3">
      <c r="C38" s="19" t="s">
        <v>80</v>
      </c>
      <c r="D38" s="23" t="s">
        <v>81</v>
      </c>
      <c r="E38" s="13">
        <f>E35/D35-1</f>
        <v>0</v>
      </c>
      <c r="F38" s="13">
        <f t="shared" ref="F38:G40" si="1">F35/E35-1</f>
        <v>0</v>
      </c>
      <c r="G38" s="13">
        <f t="shared" si="1"/>
        <v>0</v>
      </c>
    </row>
    <row r="39" spans="3:7" ht="15.75" thickBot="1" x14ac:dyDescent="0.3">
      <c r="C39" s="19" t="s">
        <v>82</v>
      </c>
      <c r="D39" s="23" t="s">
        <v>81</v>
      </c>
      <c r="E39" s="13">
        <f>E36/D36-1</f>
        <v>-0.44390243902439019</v>
      </c>
      <c r="F39" s="13">
        <f t="shared" si="1"/>
        <v>1.7543859649122862E-2</v>
      </c>
      <c r="G39" s="13">
        <f t="shared" si="1"/>
        <v>0.7931034482758621</v>
      </c>
    </row>
    <row r="40" spans="3:7" ht="15.75" thickBot="1" x14ac:dyDescent="0.3">
      <c r="C40" s="19" t="s">
        <v>83</v>
      </c>
      <c r="D40" s="23" t="s">
        <v>81</v>
      </c>
      <c r="E40" s="13">
        <f>E37/D37-1</f>
        <v>-0.44390243902439019</v>
      </c>
      <c r="F40" s="13">
        <f t="shared" si="1"/>
        <v>1.7543859649122862E-2</v>
      </c>
      <c r="G40" s="13">
        <f t="shared" si="1"/>
        <v>0.79310344827586188</v>
      </c>
    </row>
    <row r="41" spans="3:7" ht="15.75" customHeight="1" thickBot="1" x14ac:dyDescent="0.3">
      <c r="C41" s="338" t="s">
        <v>84</v>
      </c>
      <c r="D41" s="339"/>
      <c r="E41" s="339"/>
      <c r="F41" s="339"/>
      <c r="G41" s="340"/>
    </row>
    <row r="42" spans="3:7" x14ac:dyDescent="0.25">
      <c r="C42" s="350"/>
      <c r="D42" s="20">
        <v>2018</v>
      </c>
      <c r="E42" s="20">
        <v>2019</v>
      </c>
      <c r="F42" s="20">
        <v>2020</v>
      </c>
      <c r="G42" s="20">
        <v>2021</v>
      </c>
    </row>
    <row r="43" spans="3:7" ht="15.75" thickBot="1" x14ac:dyDescent="0.3">
      <c r="C43" s="351"/>
      <c r="D43" s="21" t="s">
        <v>42</v>
      </c>
      <c r="E43" s="21" t="s">
        <v>43</v>
      </c>
      <c r="F43" s="21" t="s">
        <v>43</v>
      </c>
      <c r="G43" s="21" t="s">
        <v>43</v>
      </c>
    </row>
    <row r="44" spans="3:7" ht="15.75" thickBot="1" x14ac:dyDescent="0.3">
      <c r="C44" s="24" t="s">
        <v>85</v>
      </c>
      <c r="D44" s="25">
        <v>19400</v>
      </c>
      <c r="E44" s="25">
        <v>19400</v>
      </c>
      <c r="F44" s="25">
        <v>19400</v>
      </c>
      <c r="G44" s="25">
        <v>19400</v>
      </c>
    </row>
    <row r="45" spans="3:7" ht="15.75" thickBot="1" x14ac:dyDescent="0.3">
      <c r="C45" s="24" t="s">
        <v>86</v>
      </c>
      <c r="D45" s="25">
        <v>9100</v>
      </c>
      <c r="E45" s="25">
        <v>9100</v>
      </c>
      <c r="F45" s="25">
        <v>9100</v>
      </c>
      <c r="G45" s="25">
        <v>9100</v>
      </c>
    </row>
    <row r="46" spans="3:7" ht="15.75" thickBot="1" x14ac:dyDescent="0.3">
      <c r="C46" s="24" t="s">
        <v>87</v>
      </c>
      <c r="D46" s="25">
        <v>74000</v>
      </c>
      <c r="E46" s="25">
        <v>28500</v>
      </c>
      <c r="F46" s="25">
        <v>29500</v>
      </c>
      <c r="G46" s="25">
        <v>75500</v>
      </c>
    </row>
    <row r="47" spans="3:7" ht="15.75" thickBot="1" x14ac:dyDescent="0.3">
      <c r="C47" s="24" t="s">
        <v>88</v>
      </c>
      <c r="D47" s="26"/>
      <c r="E47" s="25"/>
      <c r="F47" s="25"/>
      <c r="G47" s="25"/>
    </row>
    <row r="48" spans="3:7" ht="15.75" thickBot="1" x14ac:dyDescent="0.3">
      <c r="C48" s="24" t="s">
        <v>89</v>
      </c>
      <c r="D48" s="26"/>
      <c r="E48" s="25"/>
      <c r="F48" s="25"/>
      <c r="G48" s="25"/>
    </row>
    <row r="49" spans="3:7" ht="15.75" thickBot="1" x14ac:dyDescent="0.3">
      <c r="C49" s="24" t="s">
        <v>90</v>
      </c>
      <c r="D49" s="26"/>
      <c r="E49" s="25"/>
      <c r="F49" s="25"/>
      <c r="G49" s="25"/>
    </row>
    <row r="50" spans="3:7" ht="15.75" thickBot="1" x14ac:dyDescent="0.3">
      <c r="C50" s="24" t="s">
        <v>91</v>
      </c>
      <c r="D50" s="26"/>
      <c r="E50" s="25"/>
      <c r="F50" s="25"/>
      <c r="G50" s="25"/>
    </row>
    <row r="51" spans="3:7" ht="15.75" thickBot="1" x14ac:dyDescent="0.3">
      <c r="C51" s="27" t="s">
        <v>92</v>
      </c>
      <c r="D51" s="26">
        <f>D50+D49+D48+D47+D46+D45+D44</f>
        <v>102500</v>
      </c>
      <c r="E51" s="26">
        <f>E50+E49+E48+E47+E46+E45+E44</f>
        <v>57000</v>
      </c>
      <c r="F51" s="26">
        <f>F50+F49+F48+F47+F46+F45+F44</f>
        <v>58000</v>
      </c>
      <c r="G51" s="26">
        <f>G50+G49+G48+G47+G46+G45+G44</f>
        <v>104000</v>
      </c>
    </row>
    <row r="52" spans="3:7" ht="15.75" thickBot="1" x14ac:dyDescent="0.3">
      <c r="C52" s="28" t="s">
        <v>93</v>
      </c>
      <c r="D52" s="29">
        <f>IF(D51-D36=0,0,"Error")</f>
        <v>0</v>
      </c>
      <c r="E52" s="29">
        <f>IF(E51-E36=0,0,"Error")</f>
        <v>0</v>
      </c>
      <c r="F52" s="29">
        <f>IF(F51-F36=0,0,"Error")</f>
        <v>0</v>
      </c>
      <c r="G52" s="29">
        <f>IF(G51-G36=0,0,"Error")</f>
        <v>0</v>
      </c>
    </row>
    <row r="53" spans="3:7" ht="15.75" thickBot="1" x14ac:dyDescent="0.3">
      <c r="C53" s="18" t="s">
        <v>94</v>
      </c>
      <c r="D53" s="344" t="s">
        <v>95</v>
      </c>
      <c r="E53" s="345"/>
      <c r="F53" s="345"/>
      <c r="G53" s="346"/>
    </row>
    <row r="54" spans="3:7" ht="15.75" customHeight="1" thickBot="1" x14ac:dyDescent="0.3">
      <c r="C54" s="19" t="s">
        <v>73</v>
      </c>
      <c r="D54" s="335" t="s">
        <v>96</v>
      </c>
      <c r="E54" s="336"/>
      <c r="F54" s="336"/>
      <c r="G54" s="337"/>
    </row>
    <row r="55" spans="3:7" ht="15.75" thickBot="1" x14ac:dyDescent="0.3">
      <c r="C55" s="19" t="s">
        <v>75</v>
      </c>
      <c r="D55" s="347" t="s">
        <v>97</v>
      </c>
      <c r="E55" s="348"/>
      <c r="F55" s="348"/>
      <c r="G55" s="349"/>
    </row>
    <row r="56" spans="3:7" x14ac:dyDescent="0.25">
      <c r="C56" s="350"/>
      <c r="D56" s="20">
        <v>2018</v>
      </c>
      <c r="E56" s="20">
        <v>2019</v>
      </c>
      <c r="F56" s="20">
        <v>2020</v>
      </c>
      <c r="G56" s="20">
        <v>2021</v>
      </c>
    </row>
    <row r="57" spans="3:7" ht="15.75" thickBot="1" x14ac:dyDescent="0.3">
      <c r="C57" s="351"/>
      <c r="D57" s="21" t="s">
        <v>42</v>
      </c>
      <c r="E57" s="21" t="s">
        <v>43</v>
      </c>
      <c r="F57" s="21" t="s">
        <v>43</v>
      </c>
      <c r="G57" s="21" t="s">
        <v>43</v>
      </c>
    </row>
    <row r="58" spans="3:7" ht="15.75" thickBot="1" x14ac:dyDescent="0.3">
      <c r="C58" s="19" t="s">
        <v>77</v>
      </c>
      <c r="D58" s="22">
        <v>1</v>
      </c>
      <c r="E58" s="22">
        <v>1</v>
      </c>
      <c r="F58" s="22">
        <v>1</v>
      </c>
      <c r="G58" s="22">
        <v>1</v>
      </c>
    </row>
    <row r="59" spans="3:7" ht="15.75" thickBot="1" x14ac:dyDescent="0.3">
      <c r="C59" s="19" t="s">
        <v>78</v>
      </c>
      <c r="D59" s="22">
        <v>80000</v>
      </c>
      <c r="E59" s="22">
        <v>80000</v>
      </c>
      <c r="F59" s="22">
        <v>80000</v>
      </c>
      <c r="G59" s="22">
        <v>80000</v>
      </c>
    </row>
    <row r="60" spans="3:7" ht="15.75" thickBot="1" x14ac:dyDescent="0.3">
      <c r="C60" s="19" t="s">
        <v>79</v>
      </c>
      <c r="D60" s="22">
        <f>D59/D58</f>
        <v>80000</v>
      </c>
      <c r="E60" s="22">
        <f t="shared" ref="E60:G60" si="2">E59/E58</f>
        <v>80000</v>
      </c>
      <c r="F60" s="22">
        <f t="shared" si="2"/>
        <v>80000</v>
      </c>
      <c r="G60" s="22">
        <f t="shared" si="2"/>
        <v>80000</v>
      </c>
    </row>
    <row r="61" spans="3:7" ht="15.75" thickBot="1" x14ac:dyDescent="0.3">
      <c r="C61" s="19" t="s">
        <v>80</v>
      </c>
      <c r="D61" s="23" t="s">
        <v>81</v>
      </c>
      <c r="E61" s="13">
        <f>E58/D58-1</f>
        <v>0</v>
      </c>
      <c r="F61" s="13">
        <f t="shared" ref="F61:G63" si="3">F58/E58-1</f>
        <v>0</v>
      </c>
      <c r="G61" s="13">
        <f t="shared" si="3"/>
        <v>0</v>
      </c>
    </row>
    <row r="62" spans="3:7" ht="15.75" thickBot="1" x14ac:dyDescent="0.3">
      <c r="C62" s="19" t="s">
        <v>82</v>
      </c>
      <c r="D62" s="23" t="s">
        <v>81</v>
      </c>
      <c r="E62" s="13">
        <f>E59/D59-1</f>
        <v>0</v>
      </c>
      <c r="F62" s="13">
        <f t="shared" si="3"/>
        <v>0</v>
      </c>
      <c r="G62" s="13">
        <f t="shared" si="3"/>
        <v>0</v>
      </c>
    </row>
    <row r="63" spans="3:7" ht="15.75" thickBot="1" x14ac:dyDescent="0.3">
      <c r="C63" s="19" t="s">
        <v>83</v>
      </c>
      <c r="D63" s="23" t="s">
        <v>81</v>
      </c>
      <c r="E63" s="13">
        <f>E60/D60-1</f>
        <v>0</v>
      </c>
      <c r="F63" s="13">
        <f t="shared" si="3"/>
        <v>0</v>
      </c>
      <c r="G63" s="13">
        <f t="shared" si="3"/>
        <v>0</v>
      </c>
    </row>
    <row r="64" spans="3:7" ht="15.75" customHeight="1" thickBot="1" x14ac:dyDescent="0.3">
      <c r="C64" s="338" t="s">
        <v>98</v>
      </c>
      <c r="D64" s="339"/>
      <c r="E64" s="339"/>
      <c r="F64" s="339"/>
      <c r="G64" s="340"/>
    </row>
    <row r="65" spans="3:7" x14ac:dyDescent="0.25">
      <c r="C65" s="350"/>
      <c r="D65" s="20">
        <v>2018</v>
      </c>
      <c r="E65" s="20">
        <v>2019</v>
      </c>
      <c r="F65" s="20">
        <v>2020</v>
      </c>
      <c r="G65" s="20">
        <v>2021</v>
      </c>
    </row>
    <row r="66" spans="3:7" ht="15.75" thickBot="1" x14ac:dyDescent="0.3">
      <c r="C66" s="351"/>
      <c r="D66" s="21" t="s">
        <v>42</v>
      </c>
      <c r="E66" s="21" t="s">
        <v>43</v>
      </c>
      <c r="F66" s="21" t="s">
        <v>43</v>
      </c>
      <c r="G66" s="21" t="s">
        <v>43</v>
      </c>
    </row>
    <row r="67" spans="3:7" ht="15.75" thickBot="1" x14ac:dyDescent="0.3">
      <c r="C67" s="24" t="s">
        <v>85</v>
      </c>
      <c r="D67" s="25">
        <v>40000</v>
      </c>
      <c r="E67" s="25">
        <v>40000</v>
      </c>
      <c r="F67" s="25">
        <v>40000</v>
      </c>
      <c r="G67" s="25">
        <v>40000</v>
      </c>
    </row>
    <row r="68" spans="3:7" ht="15.75" thickBot="1" x14ac:dyDescent="0.3">
      <c r="C68" s="24" t="s">
        <v>86</v>
      </c>
      <c r="D68" s="25">
        <v>15000</v>
      </c>
      <c r="E68" s="25">
        <v>15000</v>
      </c>
      <c r="F68" s="25">
        <v>15000</v>
      </c>
      <c r="G68" s="25">
        <v>15000</v>
      </c>
    </row>
    <row r="69" spans="3:7" ht="15.75" thickBot="1" x14ac:dyDescent="0.3">
      <c r="C69" s="24" t="s">
        <v>87</v>
      </c>
      <c r="D69" s="25">
        <v>25000</v>
      </c>
      <c r="E69" s="25">
        <v>25000</v>
      </c>
      <c r="F69" s="25">
        <v>25000</v>
      </c>
      <c r="G69" s="25">
        <v>25000</v>
      </c>
    </row>
    <row r="70" spans="3:7" ht="15.75" thickBot="1" x14ac:dyDescent="0.3">
      <c r="C70" s="24" t="s">
        <v>88</v>
      </c>
      <c r="D70" s="26"/>
      <c r="E70" s="25"/>
      <c r="F70" s="25"/>
      <c r="G70" s="25"/>
    </row>
    <row r="71" spans="3:7" ht="15.75" thickBot="1" x14ac:dyDescent="0.3">
      <c r="C71" s="24" t="s">
        <v>89</v>
      </c>
      <c r="D71" s="26"/>
      <c r="E71" s="25"/>
      <c r="F71" s="25"/>
      <c r="G71" s="25"/>
    </row>
    <row r="72" spans="3:7" ht="15.75" thickBot="1" x14ac:dyDescent="0.3">
      <c r="C72" s="24" t="s">
        <v>90</v>
      </c>
      <c r="D72" s="26"/>
      <c r="E72" s="25"/>
      <c r="F72" s="25"/>
      <c r="G72" s="25"/>
    </row>
    <row r="73" spans="3:7" ht="15.75" thickBot="1" x14ac:dyDescent="0.3">
      <c r="C73" s="24" t="s">
        <v>91</v>
      </c>
      <c r="D73" s="26"/>
      <c r="E73" s="25"/>
      <c r="F73" s="25"/>
      <c r="G73" s="25"/>
    </row>
    <row r="74" spans="3:7" ht="15.75" thickBot="1" x14ac:dyDescent="0.3">
      <c r="C74" s="27" t="s">
        <v>99</v>
      </c>
      <c r="D74" s="26">
        <f>D73+D72+D71+D70+D69+D68+D67</f>
        <v>80000</v>
      </c>
      <c r="E74" s="26">
        <f>E73+E72+E71+E70+E69+E68+E67</f>
        <v>80000</v>
      </c>
      <c r="F74" s="26">
        <f>F73+F72+F71+F70+F69+F68+F67</f>
        <v>80000</v>
      </c>
      <c r="G74" s="26">
        <f>G73+G72+G71+G70+G69+G68+G67</f>
        <v>80000</v>
      </c>
    </row>
    <row r="75" spans="3:7" ht="15.75" thickBot="1" x14ac:dyDescent="0.3">
      <c r="C75" s="28" t="s">
        <v>93</v>
      </c>
      <c r="D75" s="29">
        <f>IF(D74-D59=0,0,"Error")</f>
        <v>0</v>
      </c>
      <c r="E75" s="29">
        <f>IF(E74-E59=0,0,"Error")</f>
        <v>0</v>
      </c>
      <c r="F75" s="29">
        <f>IF(F74-F59=0,0,"Error")</f>
        <v>0</v>
      </c>
      <c r="G75" s="29">
        <f>IF(G74-G59=0,0,"Error")</f>
        <v>0</v>
      </c>
    </row>
    <row r="76" spans="3:7" ht="15.75" customHeight="1" thickBot="1" x14ac:dyDescent="0.3">
      <c r="C76" s="18" t="s">
        <v>100</v>
      </c>
      <c r="D76" s="344" t="s">
        <v>101</v>
      </c>
      <c r="E76" s="345"/>
      <c r="F76" s="345"/>
      <c r="G76" s="346"/>
    </row>
    <row r="77" spans="3:7" ht="15.75" customHeight="1" thickBot="1" x14ac:dyDescent="0.3">
      <c r="C77" s="19" t="s">
        <v>73</v>
      </c>
      <c r="D77" s="335" t="s">
        <v>102</v>
      </c>
      <c r="E77" s="336"/>
      <c r="F77" s="336"/>
      <c r="G77" s="337"/>
    </row>
    <row r="78" spans="3:7" ht="15.75" thickBot="1" x14ac:dyDescent="0.3">
      <c r="C78" s="19" t="s">
        <v>75</v>
      </c>
      <c r="D78" s="347" t="s">
        <v>97</v>
      </c>
      <c r="E78" s="348"/>
      <c r="F78" s="348"/>
      <c r="G78" s="349"/>
    </row>
    <row r="79" spans="3:7" x14ac:dyDescent="0.25">
      <c r="C79" s="350"/>
      <c r="D79" s="20">
        <v>2018</v>
      </c>
      <c r="E79" s="20">
        <v>2019</v>
      </c>
      <c r="F79" s="20">
        <v>2020</v>
      </c>
      <c r="G79" s="20">
        <v>2021</v>
      </c>
    </row>
    <row r="80" spans="3:7" ht="15.75" thickBot="1" x14ac:dyDescent="0.3">
      <c r="C80" s="351"/>
      <c r="D80" s="21" t="s">
        <v>42</v>
      </c>
      <c r="E80" s="21" t="s">
        <v>43</v>
      </c>
      <c r="F80" s="21" t="s">
        <v>43</v>
      </c>
      <c r="G80" s="21" t="s">
        <v>43</v>
      </c>
    </row>
    <row r="81" spans="3:7" ht="15.75" thickBot="1" x14ac:dyDescent="0.3">
      <c r="C81" s="19" t="s">
        <v>77</v>
      </c>
      <c r="D81" s="22">
        <v>2</v>
      </c>
      <c r="E81" s="22">
        <v>2</v>
      </c>
      <c r="F81" s="22">
        <v>2</v>
      </c>
      <c r="G81" s="22">
        <v>2</v>
      </c>
    </row>
    <row r="82" spans="3:7" ht="15.75" thickBot="1" x14ac:dyDescent="0.3">
      <c r="C82" s="19" t="s">
        <v>78</v>
      </c>
      <c r="D82" s="22">
        <v>80000</v>
      </c>
      <c r="E82" s="22">
        <v>80000</v>
      </c>
      <c r="F82" s="22">
        <v>80000</v>
      </c>
      <c r="G82" s="22">
        <v>80000</v>
      </c>
    </row>
    <row r="83" spans="3:7" ht="15.75" thickBot="1" x14ac:dyDescent="0.3">
      <c r="C83" s="19" t="s">
        <v>79</v>
      </c>
      <c r="D83" s="22">
        <f>D82/D81</f>
        <v>40000</v>
      </c>
      <c r="E83" s="22">
        <f t="shared" ref="E83:G83" si="4">E82/E81</f>
        <v>40000</v>
      </c>
      <c r="F83" s="22">
        <f t="shared" si="4"/>
        <v>40000</v>
      </c>
      <c r="G83" s="22">
        <f t="shared" si="4"/>
        <v>40000</v>
      </c>
    </row>
    <row r="84" spans="3:7" ht="15.75" thickBot="1" x14ac:dyDescent="0.3">
      <c r="C84" s="19" t="s">
        <v>80</v>
      </c>
      <c r="D84" s="23" t="s">
        <v>81</v>
      </c>
      <c r="E84" s="13">
        <f>E81/D81-1</f>
        <v>0</v>
      </c>
      <c r="F84" s="13">
        <f t="shared" ref="F84:G86" si="5">F81/E81-1</f>
        <v>0</v>
      </c>
      <c r="G84" s="13">
        <f t="shared" si="5"/>
        <v>0</v>
      </c>
    </row>
    <row r="85" spans="3:7" ht="15.75" thickBot="1" x14ac:dyDescent="0.3">
      <c r="C85" s="19" t="s">
        <v>82</v>
      </c>
      <c r="D85" s="23" t="s">
        <v>81</v>
      </c>
      <c r="E85" s="13">
        <f>E82/D82-1</f>
        <v>0</v>
      </c>
      <c r="F85" s="13">
        <f t="shared" si="5"/>
        <v>0</v>
      </c>
      <c r="G85" s="13">
        <f t="shared" si="5"/>
        <v>0</v>
      </c>
    </row>
    <row r="86" spans="3:7" ht="15.75" thickBot="1" x14ac:dyDescent="0.3">
      <c r="C86" s="19" t="s">
        <v>83</v>
      </c>
      <c r="D86" s="23" t="s">
        <v>81</v>
      </c>
      <c r="E86" s="13">
        <f>E83/D83-1</f>
        <v>0</v>
      </c>
      <c r="F86" s="13">
        <f t="shared" si="5"/>
        <v>0</v>
      </c>
      <c r="G86" s="13">
        <f t="shared" si="5"/>
        <v>0</v>
      </c>
    </row>
    <row r="87" spans="3:7" ht="15.75" customHeight="1" thickBot="1" x14ac:dyDescent="0.3">
      <c r="C87" s="338" t="s">
        <v>103</v>
      </c>
      <c r="D87" s="339"/>
      <c r="E87" s="339"/>
      <c r="F87" s="339"/>
      <c r="G87" s="340"/>
    </row>
    <row r="88" spans="3:7" x14ac:dyDescent="0.25">
      <c r="C88" s="350"/>
      <c r="D88" s="20">
        <v>2018</v>
      </c>
      <c r="E88" s="20">
        <v>2019</v>
      </c>
      <c r="F88" s="20">
        <v>2020</v>
      </c>
      <c r="G88" s="20">
        <v>2021</v>
      </c>
    </row>
    <row r="89" spans="3:7" ht="15.75" thickBot="1" x14ac:dyDescent="0.3">
      <c r="C89" s="351"/>
      <c r="D89" s="21" t="s">
        <v>42</v>
      </c>
      <c r="E89" s="21" t="s">
        <v>43</v>
      </c>
      <c r="F89" s="21" t="s">
        <v>43</v>
      </c>
      <c r="G89" s="21" t="s">
        <v>43</v>
      </c>
    </row>
    <row r="90" spans="3:7" ht="15.75" thickBot="1" x14ac:dyDescent="0.3">
      <c r="C90" s="24" t="s">
        <v>85</v>
      </c>
      <c r="D90" s="25">
        <v>30000</v>
      </c>
      <c r="E90" s="25">
        <v>30000</v>
      </c>
      <c r="F90" s="25">
        <v>30000</v>
      </c>
      <c r="G90" s="25">
        <v>30000</v>
      </c>
    </row>
    <row r="91" spans="3:7" ht="15.75" thickBot="1" x14ac:dyDescent="0.3">
      <c r="C91" s="24" t="s">
        <v>86</v>
      </c>
      <c r="D91" s="25">
        <v>12000</v>
      </c>
      <c r="E91" s="25">
        <v>12000</v>
      </c>
      <c r="F91" s="25">
        <v>12000</v>
      </c>
      <c r="G91" s="25">
        <v>12000</v>
      </c>
    </row>
    <row r="92" spans="3:7" ht="15.75" thickBot="1" x14ac:dyDescent="0.3">
      <c r="C92" s="24" t="s">
        <v>87</v>
      </c>
      <c r="D92" s="25">
        <v>38000</v>
      </c>
      <c r="E92" s="25">
        <v>38000</v>
      </c>
      <c r="F92" s="25">
        <v>38000</v>
      </c>
      <c r="G92" s="25">
        <v>38000</v>
      </c>
    </row>
    <row r="93" spans="3:7" ht="15.75" thickBot="1" x14ac:dyDescent="0.3">
      <c r="C93" s="24" t="s">
        <v>88</v>
      </c>
      <c r="D93" s="26"/>
      <c r="E93" s="25"/>
      <c r="F93" s="25"/>
      <c r="G93" s="25"/>
    </row>
    <row r="94" spans="3:7" ht="15.75" thickBot="1" x14ac:dyDescent="0.3">
      <c r="C94" s="24" t="s">
        <v>89</v>
      </c>
      <c r="D94" s="26"/>
      <c r="E94" s="25"/>
      <c r="F94" s="25"/>
      <c r="G94" s="25"/>
    </row>
    <row r="95" spans="3:7" ht="15.75" thickBot="1" x14ac:dyDescent="0.3">
      <c r="C95" s="24" t="s">
        <v>90</v>
      </c>
      <c r="D95" s="26"/>
      <c r="E95" s="25"/>
      <c r="F95" s="25"/>
      <c r="G95" s="25"/>
    </row>
    <row r="96" spans="3:7" ht="15.75" thickBot="1" x14ac:dyDescent="0.3">
      <c r="C96" s="24" t="s">
        <v>91</v>
      </c>
      <c r="D96" s="26"/>
      <c r="E96" s="25"/>
      <c r="F96" s="25"/>
      <c r="G96" s="25"/>
    </row>
    <row r="97" spans="3:7" ht="15.75" thickBot="1" x14ac:dyDescent="0.3">
      <c r="C97" s="27" t="s">
        <v>104</v>
      </c>
      <c r="D97" s="26">
        <f>D96+D95+D94+D93+D92+D91+D90</f>
        <v>80000</v>
      </c>
      <c r="E97" s="26">
        <f>E96+E95+E94+E93+E92+E91+E90</f>
        <v>80000</v>
      </c>
      <c r="F97" s="26">
        <f>F96+F95+F94+F93+F92+F91+F90</f>
        <v>80000</v>
      </c>
      <c r="G97" s="26">
        <f>G96+G95+G94+G93+G92+G91+G90</f>
        <v>80000</v>
      </c>
    </row>
    <row r="98" spans="3:7" ht="15.75" thickBot="1" x14ac:dyDescent="0.3">
      <c r="C98" s="28" t="s">
        <v>93</v>
      </c>
      <c r="D98" s="29">
        <f>IF(D97-D82=0,0,"Error")</f>
        <v>0</v>
      </c>
      <c r="E98" s="29">
        <f>IF(E97-E82=0,0,"Error")</f>
        <v>0</v>
      </c>
      <c r="F98" s="29">
        <f>IF(F97-F82=0,0,"Error")</f>
        <v>0</v>
      </c>
      <c r="G98" s="29">
        <f>IF(G97-G82=0,0,"Error")</f>
        <v>0</v>
      </c>
    </row>
    <row r="99" spans="3:7" ht="15.75" thickBot="1" x14ac:dyDescent="0.3">
      <c r="C99" s="341" t="s">
        <v>105</v>
      </c>
      <c r="D99" s="342"/>
      <c r="E99" s="342"/>
      <c r="F99" s="342"/>
      <c r="G99" s="343"/>
    </row>
    <row r="100" spans="3:7" ht="15.75" thickBot="1" x14ac:dyDescent="0.3">
      <c r="C100" s="341" t="s">
        <v>106</v>
      </c>
      <c r="D100" s="342"/>
      <c r="E100" s="342"/>
      <c r="F100" s="342"/>
      <c r="G100" s="343"/>
    </row>
    <row r="101" spans="3:7" ht="15.75" thickBot="1" x14ac:dyDescent="0.3">
      <c r="C101" s="30" t="s">
        <v>107</v>
      </c>
      <c r="D101" s="352" t="s">
        <v>108</v>
      </c>
      <c r="E101" s="353"/>
      <c r="F101" s="353"/>
      <c r="G101" s="354"/>
    </row>
    <row r="102" spans="3:7" ht="15.75" thickBot="1" x14ac:dyDescent="0.3">
      <c r="C102" s="18" t="s">
        <v>109</v>
      </c>
      <c r="D102" s="344" t="s">
        <v>110</v>
      </c>
      <c r="E102" s="345"/>
      <c r="F102" s="345"/>
      <c r="G102" s="346"/>
    </row>
    <row r="103" spans="3:7" ht="15.75" customHeight="1" thickBot="1" x14ac:dyDescent="0.3">
      <c r="C103" s="19" t="s">
        <v>73</v>
      </c>
      <c r="D103" s="335" t="s">
        <v>111</v>
      </c>
      <c r="E103" s="336"/>
      <c r="F103" s="336"/>
      <c r="G103" s="337"/>
    </row>
    <row r="104" spans="3:7" ht="15.75" thickBot="1" x14ac:dyDescent="0.3">
      <c r="C104" s="19" t="s">
        <v>75</v>
      </c>
      <c r="D104" s="347" t="s">
        <v>112</v>
      </c>
      <c r="E104" s="348"/>
      <c r="F104" s="348"/>
      <c r="G104" s="349"/>
    </row>
    <row r="105" spans="3:7" x14ac:dyDescent="0.25">
      <c r="C105" s="350"/>
      <c r="D105" s="20">
        <v>2018</v>
      </c>
      <c r="E105" s="20">
        <v>2019</v>
      </c>
      <c r="F105" s="20">
        <v>2020</v>
      </c>
      <c r="G105" s="20">
        <v>2021</v>
      </c>
    </row>
    <row r="106" spans="3:7" ht="15.75" thickBot="1" x14ac:dyDescent="0.3">
      <c r="C106" s="351"/>
      <c r="D106" s="21" t="s">
        <v>42</v>
      </c>
      <c r="E106" s="21" t="s">
        <v>43</v>
      </c>
      <c r="F106" s="21" t="s">
        <v>43</v>
      </c>
      <c r="G106" s="21" t="s">
        <v>43</v>
      </c>
    </row>
    <row r="107" spans="3:7" ht="15.75" thickBot="1" x14ac:dyDescent="0.3">
      <c r="C107" s="19" t="s">
        <v>77</v>
      </c>
      <c r="D107" s="22">
        <v>120</v>
      </c>
      <c r="E107" s="22">
        <v>120</v>
      </c>
      <c r="F107" s="22">
        <v>120</v>
      </c>
      <c r="G107" s="22">
        <v>120</v>
      </c>
    </row>
    <row r="108" spans="3:7" ht="15.75" thickBot="1" x14ac:dyDescent="0.3">
      <c r="C108" s="19" t="s">
        <v>78</v>
      </c>
      <c r="D108" s="22">
        <v>10000</v>
      </c>
      <c r="E108" s="22">
        <v>10000</v>
      </c>
      <c r="F108" s="22">
        <v>10000</v>
      </c>
      <c r="G108" s="22">
        <v>10000</v>
      </c>
    </row>
    <row r="109" spans="3:7" ht="15.75" thickBot="1" x14ac:dyDescent="0.3">
      <c r="C109" s="19" t="s">
        <v>79</v>
      </c>
      <c r="D109" s="22">
        <f>D108/D107</f>
        <v>83.333333333333329</v>
      </c>
      <c r="E109" s="22">
        <f t="shared" ref="E109:G109" si="6">E108/E107</f>
        <v>83.333333333333329</v>
      </c>
      <c r="F109" s="22">
        <f t="shared" si="6"/>
        <v>83.333333333333329</v>
      </c>
      <c r="G109" s="22">
        <f t="shared" si="6"/>
        <v>83.333333333333329</v>
      </c>
    </row>
    <row r="110" spans="3:7" ht="15.75" thickBot="1" x14ac:dyDescent="0.3">
      <c r="C110" s="19" t="s">
        <v>80</v>
      </c>
      <c r="D110" s="23" t="s">
        <v>81</v>
      </c>
      <c r="E110" s="13">
        <f>E107/D107-1</f>
        <v>0</v>
      </c>
      <c r="F110" s="13">
        <f t="shared" ref="F110:G112" si="7">F107/E107-1</f>
        <v>0</v>
      </c>
      <c r="G110" s="13">
        <f t="shared" si="7"/>
        <v>0</v>
      </c>
    </row>
    <row r="111" spans="3:7" ht="15.75" thickBot="1" x14ac:dyDescent="0.3">
      <c r="C111" s="19" t="s">
        <v>82</v>
      </c>
      <c r="D111" s="23" t="s">
        <v>81</v>
      </c>
      <c r="E111" s="13">
        <f>E108/D108-1</f>
        <v>0</v>
      </c>
      <c r="F111" s="13">
        <f t="shared" si="7"/>
        <v>0</v>
      </c>
      <c r="G111" s="13">
        <f t="shared" si="7"/>
        <v>0</v>
      </c>
    </row>
    <row r="112" spans="3:7" ht="15.75" thickBot="1" x14ac:dyDescent="0.3">
      <c r="C112" s="19" t="s">
        <v>83</v>
      </c>
      <c r="D112" s="23" t="s">
        <v>81</v>
      </c>
      <c r="E112" s="13">
        <f>E109/D109-1</f>
        <v>0</v>
      </c>
      <c r="F112" s="13">
        <f t="shared" si="7"/>
        <v>0</v>
      </c>
      <c r="G112" s="13">
        <f t="shared" si="7"/>
        <v>0</v>
      </c>
    </row>
    <row r="113" spans="3:7" ht="15.75" customHeight="1" thickBot="1" x14ac:dyDescent="0.3">
      <c r="C113" s="338" t="s">
        <v>84</v>
      </c>
      <c r="D113" s="339"/>
      <c r="E113" s="339"/>
      <c r="F113" s="339"/>
      <c r="G113" s="340"/>
    </row>
    <row r="114" spans="3:7" x14ac:dyDescent="0.25">
      <c r="C114" s="350"/>
      <c r="D114" s="20">
        <v>2018</v>
      </c>
      <c r="E114" s="20">
        <v>2019</v>
      </c>
      <c r="F114" s="20">
        <v>2020</v>
      </c>
      <c r="G114" s="20">
        <v>2021</v>
      </c>
    </row>
    <row r="115" spans="3:7" ht="15.75" thickBot="1" x14ac:dyDescent="0.3">
      <c r="C115" s="351"/>
      <c r="D115" s="21" t="s">
        <v>42</v>
      </c>
      <c r="E115" s="21" t="s">
        <v>43</v>
      </c>
      <c r="F115" s="21" t="s">
        <v>43</v>
      </c>
      <c r="G115" s="21" t="s">
        <v>43</v>
      </c>
    </row>
    <row r="116" spans="3:7" ht="15.75" thickBot="1" x14ac:dyDescent="0.3">
      <c r="C116" s="24" t="s">
        <v>113</v>
      </c>
      <c r="D116" s="26">
        <v>10000</v>
      </c>
      <c r="E116" s="25">
        <v>10000</v>
      </c>
      <c r="F116" s="25">
        <v>10000</v>
      </c>
      <c r="G116" s="25">
        <v>10000</v>
      </c>
    </row>
    <row r="117" spans="3:7" ht="15.75" thickBot="1" x14ac:dyDescent="0.3">
      <c r="C117" s="27" t="s">
        <v>92</v>
      </c>
      <c r="D117" s="26">
        <f>D116</f>
        <v>10000</v>
      </c>
      <c r="E117" s="26">
        <f t="shared" ref="E117:G117" si="8">E116</f>
        <v>10000</v>
      </c>
      <c r="F117" s="26">
        <f t="shared" si="8"/>
        <v>10000</v>
      </c>
      <c r="G117" s="26">
        <f t="shared" si="8"/>
        <v>10000</v>
      </c>
    </row>
    <row r="118" spans="3:7" ht="15" customHeight="1" x14ac:dyDescent="0.25">
      <c r="C118" s="355" t="s">
        <v>114</v>
      </c>
      <c r="D118" s="358"/>
      <c r="E118" s="359"/>
      <c r="F118" s="359"/>
      <c r="G118" s="360"/>
    </row>
    <row r="119" spans="3:7" x14ac:dyDescent="0.25">
      <c r="C119" s="356"/>
      <c r="D119" s="361"/>
      <c r="E119" s="362"/>
      <c r="F119" s="362"/>
      <c r="G119" s="363"/>
    </row>
    <row r="120" spans="3:7" ht="15.75" thickBot="1" x14ac:dyDescent="0.3">
      <c r="C120" s="357"/>
      <c r="D120" s="364"/>
      <c r="E120" s="365"/>
      <c r="F120" s="365"/>
      <c r="G120" s="366"/>
    </row>
    <row r="121" spans="3:7" ht="15.75" thickBot="1" x14ac:dyDescent="0.3">
      <c r="C121" s="367" t="s">
        <v>115</v>
      </c>
      <c r="D121" s="368"/>
      <c r="E121" s="368"/>
      <c r="F121" s="368"/>
      <c r="G121" s="369"/>
    </row>
    <row r="122" spans="3:7" x14ac:dyDescent="0.25">
      <c r="C122" s="350"/>
      <c r="D122" s="20">
        <v>2018</v>
      </c>
      <c r="E122" s="20">
        <v>2019</v>
      </c>
      <c r="F122" s="20">
        <v>2020</v>
      </c>
      <c r="G122" s="20">
        <v>2021</v>
      </c>
    </row>
    <row r="123" spans="3:7" ht="15.75" thickBot="1" x14ac:dyDescent="0.3">
      <c r="C123" s="351"/>
      <c r="D123" s="21" t="s">
        <v>42</v>
      </c>
      <c r="E123" s="21" t="s">
        <v>43</v>
      </c>
      <c r="F123" s="21" t="s">
        <v>43</v>
      </c>
      <c r="G123" s="21" t="s">
        <v>43</v>
      </c>
    </row>
    <row r="124" spans="3:7" ht="15.75" customHeight="1" thickBot="1" x14ac:dyDescent="0.3">
      <c r="C124" s="18" t="s">
        <v>116</v>
      </c>
      <c r="D124" s="370" t="s">
        <v>117</v>
      </c>
      <c r="E124" s="371"/>
      <c r="F124" s="371"/>
      <c r="G124" s="372"/>
    </row>
    <row r="125" spans="3:7" ht="15.75" customHeight="1" thickBot="1" x14ac:dyDescent="0.3">
      <c r="C125" s="19" t="s">
        <v>73</v>
      </c>
      <c r="D125" s="335" t="s">
        <v>118</v>
      </c>
      <c r="E125" s="336"/>
      <c r="F125" s="336"/>
      <c r="G125" s="337"/>
    </row>
    <row r="126" spans="3:7" ht="15.75" thickBot="1" x14ac:dyDescent="0.3">
      <c r="C126" s="19" t="s">
        <v>75</v>
      </c>
      <c r="D126" s="347" t="s">
        <v>119</v>
      </c>
      <c r="E126" s="348"/>
      <c r="F126" s="348"/>
      <c r="G126" s="349"/>
    </row>
    <row r="127" spans="3:7" x14ac:dyDescent="0.25">
      <c r="C127" s="350"/>
      <c r="D127" s="20">
        <v>2018</v>
      </c>
      <c r="E127" s="20">
        <v>2019</v>
      </c>
      <c r="F127" s="20">
        <v>2020</v>
      </c>
      <c r="G127" s="20">
        <v>2021</v>
      </c>
    </row>
    <row r="128" spans="3:7" ht="15.75" thickBot="1" x14ac:dyDescent="0.3">
      <c r="C128" s="351"/>
      <c r="D128" s="21" t="s">
        <v>42</v>
      </c>
      <c r="E128" s="21" t="s">
        <v>43</v>
      </c>
      <c r="F128" s="21" t="s">
        <v>43</v>
      </c>
      <c r="G128" s="21" t="s">
        <v>43</v>
      </c>
    </row>
    <row r="129" spans="3:7" ht="15.75" thickBot="1" x14ac:dyDescent="0.3">
      <c r="C129" s="19" t="s">
        <v>77</v>
      </c>
      <c r="D129" s="22">
        <v>12</v>
      </c>
      <c r="E129" s="22">
        <v>12</v>
      </c>
      <c r="F129" s="22">
        <v>12</v>
      </c>
      <c r="G129" s="22">
        <v>12</v>
      </c>
    </row>
    <row r="130" spans="3:7" ht="15.75" thickBot="1" x14ac:dyDescent="0.3">
      <c r="C130" s="19" t="s">
        <v>78</v>
      </c>
      <c r="D130" s="22">
        <v>270000</v>
      </c>
      <c r="E130" s="22">
        <v>270000</v>
      </c>
      <c r="F130" s="22">
        <v>270000</v>
      </c>
      <c r="G130" s="22">
        <v>270000</v>
      </c>
    </row>
    <row r="131" spans="3:7" ht="15.75" thickBot="1" x14ac:dyDescent="0.3">
      <c r="C131" s="19" t="s">
        <v>79</v>
      </c>
      <c r="D131" s="22">
        <f>D130/D129</f>
        <v>22500</v>
      </c>
      <c r="E131" s="22">
        <f t="shared" ref="E131:G131" si="9">E130/E129</f>
        <v>22500</v>
      </c>
      <c r="F131" s="22">
        <f t="shared" si="9"/>
        <v>22500</v>
      </c>
      <c r="G131" s="22">
        <f t="shared" si="9"/>
        <v>22500</v>
      </c>
    </row>
    <row r="132" spans="3:7" ht="15.75" thickBot="1" x14ac:dyDescent="0.3">
      <c r="C132" s="19" t="s">
        <v>80</v>
      </c>
      <c r="D132" s="23"/>
      <c r="E132" s="13">
        <f>E129/D129-1</f>
        <v>0</v>
      </c>
      <c r="F132" s="13">
        <f t="shared" ref="F132:G134" si="10">F129/E129-1</f>
        <v>0</v>
      </c>
      <c r="G132" s="13">
        <f t="shared" si="10"/>
        <v>0</v>
      </c>
    </row>
    <row r="133" spans="3:7" ht="15.75" thickBot="1" x14ac:dyDescent="0.3">
      <c r="C133" s="19" t="s">
        <v>82</v>
      </c>
      <c r="D133" s="23"/>
      <c r="E133" s="13">
        <f>E130/D130-1</f>
        <v>0</v>
      </c>
      <c r="F133" s="13">
        <f t="shared" si="10"/>
        <v>0</v>
      </c>
      <c r="G133" s="13">
        <f t="shared" si="10"/>
        <v>0</v>
      </c>
    </row>
    <row r="134" spans="3:7" ht="15.75" thickBot="1" x14ac:dyDescent="0.3">
      <c r="C134" s="19" t="s">
        <v>83</v>
      </c>
      <c r="D134" s="23"/>
      <c r="E134" s="13">
        <f>E131/D131-1</f>
        <v>0</v>
      </c>
      <c r="F134" s="13">
        <f t="shared" si="10"/>
        <v>0</v>
      </c>
      <c r="G134" s="13">
        <f t="shared" si="10"/>
        <v>0</v>
      </c>
    </row>
    <row r="135" spans="3:7" x14ac:dyDescent="0.25">
      <c r="C135" s="350"/>
      <c r="D135" s="20">
        <v>2018</v>
      </c>
      <c r="E135" s="20">
        <v>2019</v>
      </c>
      <c r="F135" s="20">
        <v>2020</v>
      </c>
      <c r="G135" s="20">
        <v>2021</v>
      </c>
    </row>
    <row r="136" spans="3:7" ht="15.75" thickBot="1" x14ac:dyDescent="0.3">
      <c r="C136" s="351"/>
      <c r="D136" s="21" t="s">
        <v>42</v>
      </c>
      <c r="E136" s="21" t="s">
        <v>43</v>
      </c>
      <c r="F136" s="21" t="s">
        <v>43</v>
      </c>
      <c r="G136" s="21" t="s">
        <v>43</v>
      </c>
    </row>
    <row r="137" spans="3:7" ht="15.75" customHeight="1" thickBot="1" x14ac:dyDescent="0.3">
      <c r="C137" s="338" t="s">
        <v>120</v>
      </c>
      <c r="D137" s="339"/>
      <c r="E137" s="339"/>
      <c r="F137" s="339"/>
      <c r="G137" s="340"/>
    </row>
    <row r="138" spans="3:7" x14ac:dyDescent="0.25">
      <c r="C138" s="350"/>
      <c r="D138" s="20">
        <v>2018</v>
      </c>
      <c r="E138" s="20">
        <v>2019</v>
      </c>
      <c r="F138" s="20">
        <v>2020</v>
      </c>
      <c r="G138" s="20">
        <v>2021</v>
      </c>
    </row>
    <row r="139" spans="3:7" ht="15.75" thickBot="1" x14ac:dyDescent="0.3">
      <c r="C139" s="351"/>
      <c r="D139" s="21" t="s">
        <v>42</v>
      </c>
      <c r="E139" s="21" t="s">
        <v>43</v>
      </c>
      <c r="F139" s="21" t="s">
        <v>43</v>
      </c>
      <c r="G139" s="21" t="s">
        <v>43</v>
      </c>
    </row>
    <row r="140" spans="3:7" ht="15.75" thickBot="1" x14ac:dyDescent="0.3">
      <c r="C140" s="24" t="s">
        <v>85</v>
      </c>
      <c r="D140" s="25">
        <v>182000</v>
      </c>
      <c r="E140" s="25">
        <v>182000</v>
      </c>
      <c r="F140" s="25">
        <v>182000</v>
      </c>
      <c r="G140" s="25">
        <v>182000</v>
      </c>
    </row>
    <row r="141" spans="3:7" ht="15.75" thickBot="1" x14ac:dyDescent="0.3">
      <c r="C141" s="24" t="s">
        <v>86</v>
      </c>
      <c r="D141" s="25">
        <v>30000</v>
      </c>
      <c r="E141" s="25">
        <v>30000</v>
      </c>
      <c r="F141" s="25">
        <v>30000</v>
      </c>
      <c r="G141" s="25">
        <v>30000</v>
      </c>
    </row>
    <row r="142" spans="3:7" ht="15.75" thickBot="1" x14ac:dyDescent="0.3">
      <c r="C142" s="24" t="s">
        <v>87</v>
      </c>
      <c r="D142" s="26">
        <v>58000</v>
      </c>
      <c r="E142" s="26">
        <v>58000</v>
      </c>
      <c r="F142" s="26">
        <v>58000</v>
      </c>
      <c r="G142" s="26">
        <v>58000</v>
      </c>
    </row>
    <row r="143" spans="3:7" ht="15.75" thickBot="1" x14ac:dyDescent="0.3">
      <c r="C143" s="24" t="s">
        <v>88</v>
      </c>
      <c r="D143" s="26"/>
      <c r="E143" s="25"/>
      <c r="F143" s="25"/>
      <c r="G143" s="25"/>
    </row>
    <row r="144" spans="3:7" ht="15.75" thickBot="1" x14ac:dyDescent="0.3">
      <c r="C144" s="24" t="s">
        <v>89</v>
      </c>
      <c r="D144" s="26"/>
      <c r="E144" s="25"/>
      <c r="F144" s="25"/>
      <c r="G144" s="25"/>
    </row>
    <row r="145" spans="3:7" ht="15.75" thickBot="1" x14ac:dyDescent="0.3">
      <c r="C145" s="24" t="s">
        <v>90</v>
      </c>
      <c r="D145" s="26"/>
      <c r="E145" s="25"/>
      <c r="F145" s="25"/>
      <c r="G145" s="25"/>
    </row>
    <row r="146" spans="3:7" ht="15.75" thickBot="1" x14ac:dyDescent="0.3">
      <c r="C146" s="24" t="s">
        <v>91</v>
      </c>
      <c r="D146" s="26"/>
      <c r="E146" s="25"/>
      <c r="F146" s="25"/>
      <c r="G146" s="25"/>
    </row>
    <row r="147" spans="3:7" ht="24.75" thickBot="1" x14ac:dyDescent="0.3">
      <c r="C147" s="31" t="s">
        <v>121</v>
      </c>
      <c r="D147" s="32">
        <f>D146+D145+D144+D143+D142+D141+D140</f>
        <v>270000</v>
      </c>
      <c r="E147" s="32">
        <f>E146+E145+E144+E143+E142+E141+E140</f>
        <v>270000</v>
      </c>
      <c r="F147" s="32">
        <f>F146+F145+F144+F143+F142+F141+F140</f>
        <v>270000</v>
      </c>
      <c r="G147" s="32">
        <f>G146+G145+G144+G143+G142+G141+G140</f>
        <v>270000</v>
      </c>
    </row>
    <row r="148" spans="3:7" ht="15.75" thickBot="1" x14ac:dyDescent="0.3">
      <c r="C148" s="28" t="s">
        <v>93</v>
      </c>
      <c r="D148" s="29">
        <f>IF(D147-D130=0,0,"Error")</f>
        <v>0</v>
      </c>
      <c r="E148" s="29">
        <f>IF(E147-E130=0,0,"Error")</f>
        <v>0</v>
      </c>
      <c r="F148" s="29">
        <f>IF(F147-F130=0,0,"Error")</f>
        <v>0</v>
      </c>
      <c r="G148" s="29">
        <f>IF(G147-G130=0,0,"Error")</f>
        <v>0</v>
      </c>
    </row>
    <row r="149" spans="3:7" ht="15.75" thickBot="1" x14ac:dyDescent="0.3">
      <c r="C149" s="33"/>
      <c r="D149" s="34"/>
      <c r="E149" s="34"/>
      <c r="F149" s="34"/>
      <c r="G149" s="34"/>
    </row>
    <row r="150" spans="3:7" ht="36.75" customHeight="1" thickBot="1" x14ac:dyDescent="0.3">
      <c r="C150" s="35" t="s">
        <v>122</v>
      </c>
      <c r="D150" s="36">
        <f>D36+D59+D82+D108+D130</f>
        <v>542500</v>
      </c>
      <c r="E150" s="36">
        <f>E36+E59+E82+E108+E130</f>
        <v>497000</v>
      </c>
      <c r="F150" s="36">
        <f>F36+F59+F82+F108+F130</f>
        <v>498000</v>
      </c>
      <c r="G150" s="36">
        <f>G36+G59+G82+G108+G130</f>
        <v>544000</v>
      </c>
    </row>
    <row r="151" spans="3:7" ht="42" customHeight="1" thickBot="1" x14ac:dyDescent="0.3">
      <c r="C151" s="35" t="s">
        <v>123</v>
      </c>
      <c r="D151" s="36">
        <f>D153+D155+D157+D159</f>
        <v>542500</v>
      </c>
      <c r="E151" s="36">
        <f t="shared" ref="E151:G151" si="11">E153+E155+E157+E159</f>
        <v>497000</v>
      </c>
      <c r="F151" s="36">
        <f t="shared" si="11"/>
        <v>498000</v>
      </c>
      <c r="G151" s="36">
        <f t="shared" si="11"/>
        <v>544000</v>
      </c>
    </row>
    <row r="152" spans="3:7" ht="51" customHeight="1" thickBot="1" x14ac:dyDescent="0.3">
      <c r="C152" s="37" t="s">
        <v>124</v>
      </c>
      <c r="D152" s="38"/>
      <c r="E152" s="39">
        <f>E151/D151-1</f>
        <v>-8.3870967741935476E-2</v>
      </c>
      <c r="F152" s="39">
        <f t="shared" ref="F152:G152" si="12">F151/E151-1</f>
        <v>2.012072434607548E-3</v>
      </c>
      <c r="G152" s="39">
        <f t="shared" si="12"/>
        <v>9.2369477911646625E-2</v>
      </c>
    </row>
    <row r="153" spans="3:7" ht="15.75" thickBot="1" x14ac:dyDescent="0.3">
      <c r="C153" s="40" t="s">
        <v>85</v>
      </c>
      <c r="D153" s="41">
        <f>D44+D67+D90+D140</f>
        <v>271400</v>
      </c>
      <c r="E153" s="41">
        <f>E44+E67+E90+E140</f>
        <v>271400</v>
      </c>
      <c r="F153" s="41">
        <f>F44+F67+F90+F140</f>
        <v>271400</v>
      </c>
      <c r="G153" s="41">
        <f>G44+G67+G90+G140</f>
        <v>271400</v>
      </c>
    </row>
    <row r="154" spans="3:7" ht="15.75" thickBot="1" x14ac:dyDescent="0.3">
      <c r="C154" s="42" t="s">
        <v>125</v>
      </c>
      <c r="D154" s="43"/>
      <c r="E154" s="44">
        <f>E153/D153-1</f>
        <v>0</v>
      </c>
      <c r="F154" s="44">
        <f t="shared" ref="F154:G154" si="13">F153/E153-1</f>
        <v>0</v>
      </c>
      <c r="G154" s="44">
        <f t="shared" si="13"/>
        <v>0</v>
      </c>
    </row>
    <row r="155" spans="3:7" ht="30.75" thickBot="1" x14ac:dyDescent="0.3">
      <c r="C155" s="40" t="s">
        <v>86</v>
      </c>
      <c r="D155" s="41">
        <f>D45+D68+D91+D141</f>
        <v>66100</v>
      </c>
      <c r="E155" s="41">
        <f>E45+E68+E91+E141</f>
        <v>66100</v>
      </c>
      <c r="F155" s="41">
        <f>F45+F68+F91+F141</f>
        <v>66100</v>
      </c>
      <c r="G155" s="41">
        <f>G45+G68+G91+G141</f>
        <v>66100</v>
      </c>
    </row>
    <row r="156" spans="3:7" ht="15" customHeight="1" thickBot="1" x14ac:dyDescent="0.3">
      <c r="C156" s="42" t="s">
        <v>126</v>
      </c>
      <c r="D156" s="43"/>
      <c r="E156" s="44">
        <f>E155/D155-1</f>
        <v>0</v>
      </c>
      <c r="F156" s="44">
        <f t="shared" ref="F156:G156" si="14">F155/E155-1</f>
        <v>0</v>
      </c>
      <c r="G156" s="44">
        <f t="shared" si="14"/>
        <v>0</v>
      </c>
    </row>
    <row r="157" spans="3:7" ht="15.75" thickBot="1" x14ac:dyDescent="0.3">
      <c r="C157" s="40" t="s">
        <v>87</v>
      </c>
      <c r="D157" s="41">
        <f>D46+D69+D92+D142</f>
        <v>195000</v>
      </c>
      <c r="E157" s="41">
        <f>E46+E69+E92+E142</f>
        <v>149500</v>
      </c>
      <c r="F157" s="41">
        <f>F46+F69+F92+F142</f>
        <v>150500</v>
      </c>
      <c r="G157" s="41">
        <f>G46+G69+G92+G142</f>
        <v>196500</v>
      </c>
    </row>
    <row r="158" spans="3:7" ht="30.75" thickBot="1" x14ac:dyDescent="0.3">
      <c r="C158" s="42" t="s">
        <v>127</v>
      </c>
      <c r="D158" s="43"/>
      <c r="E158" s="44">
        <f>E157/D157-1</f>
        <v>-0.23333333333333328</v>
      </c>
      <c r="F158" s="44">
        <f t="shared" ref="F158:G158" si="15">F157/E157-1</f>
        <v>6.6889632107023367E-3</v>
      </c>
      <c r="G158" s="44">
        <f t="shared" si="15"/>
        <v>0.30564784053156147</v>
      </c>
    </row>
    <row r="159" spans="3:7" ht="15.75" thickBot="1" x14ac:dyDescent="0.3">
      <c r="C159" s="40" t="s">
        <v>128</v>
      </c>
      <c r="D159" s="41">
        <f>D116</f>
        <v>10000</v>
      </c>
      <c r="E159" s="41">
        <f>E116</f>
        <v>10000</v>
      </c>
      <c r="F159" s="41">
        <f>F116</f>
        <v>10000</v>
      </c>
      <c r="G159" s="41">
        <f>G116</f>
        <v>10000</v>
      </c>
    </row>
    <row r="160" spans="3:7" ht="30.75" thickBot="1" x14ac:dyDescent="0.3">
      <c r="C160" s="42" t="s">
        <v>129</v>
      </c>
      <c r="D160" s="43"/>
      <c r="E160" s="44">
        <f>E159/D159-1</f>
        <v>0</v>
      </c>
      <c r="F160" s="44">
        <f t="shared" ref="F160:G160" si="16">F159/E159-1</f>
        <v>0</v>
      </c>
      <c r="G160" s="44">
        <f t="shared" si="16"/>
        <v>0</v>
      </c>
    </row>
    <row r="161" spans="3:7" ht="15.75" thickBot="1" x14ac:dyDescent="0.3">
      <c r="C161" s="28" t="s">
        <v>93</v>
      </c>
      <c r="D161" s="29">
        <f>IF(D151-D150=0,0,"Error")</f>
        <v>0</v>
      </c>
      <c r="E161" s="29">
        <f t="shared" ref="E161:G161" si="17">IF(E151-E150=0,0,"Error")</f>
        <v>0</v>
      </c>
      <c r="F161" s="29">
        <f t="shared" si="17"/>
        <v>0</v>
      </c>
      <c r="G161" s="29">
        <f t="shared" si="17"/>
        <v>0</v>
      </c>
    </row>
    <row r="162" spans="3:7" ht="24.75" thickBot="1" x14ac:dyDescent="0.3">
      <c r="C162" s="45" t="s">
        <v>130</v>
      </c>
      <c r="D162" s="25" t="s">
        <v>81</v>
      </c>
      <c r="E162" s="25" t="s">
        <v>81</v>
      </c>
      <c r="F162" s="25" t="s">
        <v>81</v>
      </c>
      <c r="G162" s="25" t="s">
        <v>81</v>
      </c>
    </row>
    <row r="163" spans="3:7" ht="24.75" thickBot="1" x14ac:dyDescent="0.3">
      <c r="C163" s="45" t="s">
        <v>131</v>
      </c>
      <c r="D163" s="25" t="s">
        <v>81</v>
      </c>
      <c r="E163" s="25" t="s">
        <v>81</v>
      </c>
      <c r="F163" s="25" t="s">
        <v>81</v>
      </c>
      <c r="G163" s="25" t="s">
        <v>81</v>
      </c>
    </row>
  </sheetData>
  <mergeCells count="49">
    <mergeCell ref="C135:C136"/>
    <mergeCell ref="C137:G137"/>
    <mergeCell ref="C138:C139"/>
    <mergeCell ref="C121:G121"/>
    <mergeCell ref="C122:C123"/>
    <mergeCell ref="D124:G124"/>
    <mergeCell ref="D125:G125"/>
    <mergeCell ref="D126:G126"/>
    <mergeCell ref="C127:C128"/>
    <mergeCell ref="D104:G104"/>
    <mergeCell ref="C105:C106"/>
    <mergeCell ref="C113:G113"/>
    <mergeCell ref="C114:C115"/>
    <mergeCell ref="C118:C120"/>
    <mergeCell ref="D118:G120"/>
    <mergeCell ref="D103:G103"/>
    <mergeCell ref="C65:C66"/>
    <mergeCell ref="D76:G76"/>
    <mergeCell ref="D77:G77"/>
    <mergeCell ref="D78:G78"/>
    <mergeCell ref="C79:C80"/>
    <mergeCell ref="C87:G87"/>
    <mergeCell ref="C88:C89"/>
    <mergeCell ref="C99:G99"/>
    <mergeCell ref="C100:G100"/>
    <mergeCell ref="D101:G101"/>
    <mergeCell ref="D102:G102"/>
    <mergeCell ref="C64:G64"/>
    <mergeCell ref="C29:G29"/>
    <mergeCell ref="D30:G30"/>
    <mergeCell ref="D31:G31"/>
    <mergeCell ref="D32:G32"/>
    <mergeCell ref="C33:C34"/>
    <mergeCell ref="C41:G41"/>
    <mergeCell ref="C42:C43"/>
    <mergeCell ref="D53:G53"/>
    <mergeCell ref="D54:G54"/>
    <mergeCell ref="D55:G55"/>
    <mergeCell ref="C56:C57"/>
    <mergeCell ref="C28:G28"/>
    <mergeCell ref="D4:G4"/>
    <mergeCell ref="D5:G5"/>
    <mergeCell ref="D6:G6"/>
    <mergeCell ref="C7:G7"/>
    <mergeCell ref="C8:G10"/>
    <mergeCell ref="D11:G11"/>
    <mergeCell ref="C12:C13"/>
    <mergeCell ref="D16:G16"/>
    <mergeCell ref="C17:G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H298"/>
  <sheetViews>
    <sheetView topLeftCell="A295" zoomScale="140" zoomScaleNormal="140" workbookViewId="0">
      <selection activeCell="H264" sqref="H264"/>
    </sheetView>
  </sheetViews>
  <sheetFormatPr defaultRowHeight="15" x14ac:dyDescent="0.25"/>
  <cols>
    <col min="2" max="2" width="0" hidden="1" customWidth="1"/>
    <col min="4" max="4" width="35" customWidth="1"/>
    <col min="5" max="7" width="21.42578125" customWidth="1"/>
    <col min="8" max="8" width="31.7109375" customWidth="1"/>
  </cols>
  <sheetData>
    <row r="3" spans="4:8" x14ac:dyDescent="0.25">
      <c r="D3" s="376" t="s">
        <v>33</v>
      </c>
      <c r="E3" s="376"/>
      <c r="F3" s="376"/>
      <c r="G3" s="376"/>
      <c r="H3" s="376"/>
    </row>
    <row r="4" spans="4:8" ht="15.75" thickBot="1" x14ac:dyDescent="0.3"/>
    <row r="5" spans="4:8" ht="15.75" thickBot="1" x14ac:dyDescent="0.3">
      <c r="D5" s="9" t="s">
        <v>34</v>
      </c>
      <c r="E5" s="306" t="s">
        <v>136</v>
      </c>
      <c r="F5" s="307"/>
      <c r="G5" s="307"/>
      <c r="H5" s="308"/>
    </row>
    <row r="6" spans="4:8" ht="15.75" thickBot="1" x14ac:dyDescent="0.3">
      <c r="D6" s="9" t="s">
        <v>6</v>
      </c>
      <c r="E6" s="309" t="s">
        <v>16</v>
      </c>
      <c r="F6" s="310"/>
      <c r="G6" s="310"/>
      <c r="H6" s="311"/>
    </row>
    <row r="7" spans="4:8" ht="15.75" thickBot="1" x14ac:dyDescent="0.3">
      <c r="D7" s="9" t="s">
        <v>36</v>
      </c>
      <c r="E7" s="312" t="s">
        <v>37</v>
      </c>
      <c r="F7" s="313"/>
      <c r="G7" s="313"/>
      <c r="H7" s="314"/>
    </row>
    <row r="8" spans="4:8" ht="15.75" thickBot="1" x14ac:dyDescent="0.3">
      <c r="D8" s="315" t="s">
        <v>7</v>
      </c>
      <c r="E8" s="316"/>
      <c r="F8" s="316"/>
      <c r="G8" s="316"/>
      <c r="H8" s="317"/>
    </row>
    <row r="9" spans="4:8" x14ac:dyDescent="0.25">
      <c r="D9" s="377" t="s">
        <v>137</v>
      </c>
      <c r="E9" s="378"/>
      <c r="F9" s="378"/>
      <c r="G9" s="378"/>
      <c r="H9" s="379"/>
    </row>
    <row r="10" spans="4:8" x14ac:dyDescent="0.25">
      <c r="D10" s="380"/>
      <c r="E10" s="381"/>
      <c r="F10" s="381"/>
      <c r="G10" s="381"/>
      <c r="H10" s="382"/>
    </row>
    <row r="11" spans="4:8" ht="9" customHeight="1" thickBot="1" x14ac:dyDescent="0.3">
      <c r="D11" s="383"/>
      <c r="E11" s="384"/>
      <c r="F11" s="384"/>
      <c r="G11" s="384"/>
      <c r="H11" s="385"/>
    </row>
    <row r="12" spans="4:8" ht="48" customHeight="1" thickBot="1" x14ac:dyDescent="0.3">
      <c r="D12" s="10" t="s">
        <v>39</v>
      </c>
      <c r="E12" s="373" t="s">
        <v>138</v>
      </c>
      <c r="F12" s="374"/>
      <c r="G12" s="374"/>
      <c r="H12" s="375"/>
    </row>
    <row r="13" spans="4:8" x14ac:dyDescent="0.25">
      <c r="D13" s="350" t="s">
        <v>139</v>
      </c>
      <c r="E13" s="47">
        <v>2018</v>
      </c>
      <c r="F13" s="47">
        <v>2019</v>
      </c>
      <c r="G13" s="47">
        <v>2020</v>
      </c>
      <c r="H13" s="47">
        <v>2021</v>
      </c>
    </row>
    <row r="14" spans="4:8" ht="15.75" thickBot="1" x14ac:dyDescent="0.3">
      <c r="D14" s="351"/>
      <c r="E14" s="48" t="s">
        <v>42</v>
      </c>
      <c r="F14" s="48" t="s">
        <v>43</v>
      </c>
      <c r="G14" s="48" t="s">
        <v>43</v>
      </c>
      <c r="H14" s="48" t="s">
        <v>43</v>
      </c>
    </row>
    <row r="15" spans="4:8" ht="34.5" thickBot="1" x14ac:dyDescent="0.3">
      <c r="D15" s="46" t="s">
        <v>140</v>
      </c>
      <c r="E15" s="49" t="s">
        <v>141</v>
      </c>
      <c r="F15" s="49" t="s">
        <v>142</v>
      </c>
      <c r="G15" s="49" t="s">
        <v>143</v>
      </c>
      <c r="H15" s="49" t="s">
        <v>144</v>
      </c>
    </row>
    <row r="16" spans="4:8" ht="23.25" thickBot="1" x14ac:dyDescent="0.3">
      <c r="D16" s="19" t="s">
        <v>145</v>
      </c>
      <c r="E16" s="49" t="s">
        <v>146</v>
      </c>
      <c r="F16" s="49" t="s">
        <v>147</v>
      </c>
      <c r="G16" s="49" t="s">
        <v>148</v>
      </c>
      <c r="H16" s="49" t="s">
        <v>149</v>
      </c>
    </row>
    <row r="17" spans="4:8" ht="23.25" thickBot="1" x14ac:dyDescent="0.3">
      <c r="D17" s="50" t="s">
        <v>150</v>
      </c>
      <c r="E17" s="49" t="s">
        <v>151</v>
      </c>
      <c r="F17" s="49" t="s">
        <v>152</v>
      </c>
      <c r="G17" s="49" t="s">
        <v>152</v>
      </c>
      <c r="H17" s="49" t="s">
        <v>152</v>
      </c>
    </row>
    <row r="18" spans="4:8" ht="24" customHeight="1" thickBot="1" x14ac:dyDescent="0.3">
      <c r="D18" s="51" t="s">
        <v>46</v>
      </c>
      <c r="E18" s="332" t="s">
        <v>153</v>
      </c>
      <c r="F18" s="333"/>
      <c r="G18" s="333"/>
      <c r="H18" s="334"/>
    </row>
    <row r="19" spans="4:8" ht="15.75" thickBot="1" x14ac:dyDescent="0.3">
      <c r="D19" s="335" t="s">
        <v>154</v>
      </c>
      <c r="E19" s="336"/>
      <c r="F19" s="336"/>
      <c r="G19" s="336"/>
      <c r="H19" s="337"/>
    </row>
    <row r="20" spans="4:8" ht="23.25" thickBot="1" x14ac:dyDescent="0.3">
      <c r="D20" s="46" t="s">
        <v>155</v>
      </c>
      <c r="E20" s="52" t="s">
        <v>156</v>
      </c>
      <c r="F20" s="52" t="s">
        <v>157</v>
      </c>
      <c r="G20" s="52" t="s">
        <v>157</v>
      </c>
      <c r="H20" s="52" t="s">
        <v>157</v>
      </c>
    </row>
    <row r="21" spans="4:8" ht="23.25" thickBot="1" x14ac:dyDescent="0.3">
      <c r="D21" s="19" t="s">
        <v>158</v>
      </c>
      <c r="E21" s="52" t="s">
        <v>159</v>
      </c>
      <c r="F21" s="52" t="s">
        <v>160</v>
      </c>
      <c r="G21" s="52" t="s">
        <v>161</v>
      </c>
      <c r="H21" s="52" t="s">
        <v>157</v>
      </c>
    </row>
    <row r="22" spans="4:8" ht="15.75" thickBot="1" x14ac:dyDescent="0.3">
      <c r="D22" s="303" t="s">
        <v>69</v>
      </c>
      <c r="E22" s="304"/>
      <c r="F22" s="304"/>
      <c r="G22" s="304"/>
      <c r="H22" s="305"/>
    </row>
    <row r="23" spans="4:8" ht="15.75" thickBot="1" x14ac:dyDescent="0.3">
      <c r="D23" s="341" t="s">
        <v>70</v>
      </c>
      <c r="E23" s="342"/>
      <c r="F23" s="342"/>
      <c r="G23" s="342"/>
      <c r="H23" s="343"/>
    </row>
    <row r="24" spans="4:8" ht="15.75" thickBot="1" x14ac:dyDescent="0.3">
      <c r="D24" s="18" t="s">
        <v>162</v>
      </c>
      <c r="E24" s="370" t="s">
        <v>163</v>
      </c>
      <c r="F24" s="371"/>
      <c r="G24" s="371"/>
      <c r="H24" s="372"/>
    </row>
    <row r="25" spans="4:8" ht="15.75" thickBot="1" x14ac:dyDescent="0.3">
      <c r="D25" s="19" t="s">
        <v>73</v>
      </c>
      <c r="E25" s="335" t="s">
        <v>164</v>
      </c>
      <c r="F25" s="336"/>
      <c r="G25" s="336"/>
      <c r="H25" s="337"/>
    </row>
    <row r="26" spans="4:8" ht="15.75" thickBot="1" x14ac:dyDescent="0.3">
      <c r="D26" s="19" t="s">
        <v>75</v>
      </c>
      <c r="E26" s="335" t="s">
        <v>165</v>
      </c>
      <c r="F26" s="336"/>
      <c r="G26" s="336"/>
      <c r="H26" s="337"/>
    </row>
    <row r="27" spans="4:8" x14ac:dyDescent="0.25">
      <c r="D27" s="350"/>
      <c r="E27" s="20">
        <v>2018</v>
      </c>
      <c r="F27" s="20">
        <v>2019</v>
      </c>
      <c r="G27" s="20">
        <v>2020</v>
      </c>
      <c r="H27" s="20">
        <v>2021</v>
      </c>
    </row>
    <row r="28" spans="4:8" ht="15.75" thickBot="1" x14ac:dyDescent="0.3">
      <c r="D28" s="351"/>
      <c r="E28" s="21" t="s">
        <v>42</v>
      </c>
      <c r="F28" s="21" t="s">
        <v>43</v>
      </c>
      <c r="G28" s="21" t="s">
        <v>43</v>
      </c>
      <c r="H28" s="21" t="s">
        <v>43</v>
      </c>
    </row>
    <row r="29" spans="4:8" ht="15.75" thickBot="1" x14ac:dyDescent="0.3">
      <c r="D29" s="19" t="s">
        <v>77</v>
      </c>
      <c r="E29" s="22">
        <v>303</v>
      </c>
      <c r="F29" s="22">
        <v>303</v>
      </c>
      <c r="G29" s="22">
        <v>303</v>
      </c>
      <c r="H29" s="22">
        <v>303</v>
      </c>
    </row>
    <row r="30" spans="4:8" ht="15.75" thickBot="1" x14ac:dyDescent="0.3">
      <c r="D30" s="19" t="s">
        <v>78</v>
      </c>
      <c r="E30" s="22">
        <f>809099081/1000</f>
        <v>809099.08100000001</v>
      </c>
      <c r="F30" s="22">
        <f>896410081/1000</f>
        <v>896410.08100000001</v>
      </c>
      <c r="G30" s="22">
        <f>942081081/1000</f>
        <v>942081.08100000001</v>
      </c>
      <c r="H30" s="22">
        <f>1038681081/1000</f>
        <v>1038681.081</v>
      </c>
    </row>
    <row r="31" spans="4:8" ht="15.75" thickBot="1" x14ac:dyDescent="0.3">
      <c r="D31" s="19" t="s">
        <v>79</v>
      </c>
      <c r="E31" s="22">
        <f>E30/E29</f>
        <v>2670.2939966996701</v>
      </c>
      <c r="F31" s="22">
        <f>F30/F29</f>
        <v>2958.4491122112213</v>
      </c>
      <c r="G31" s="22">
        <f>G30/G29</f>
        <v>3109.1784851485149</v>
      </c>
      <c r="H31" s="22">
        <f>H30/H29</f>
        <v>3427.9903663366335</v>
      </c>
    </row>
    <row r="32" spans="4:8" ht="15.75" thickBot="1" x14ac:dyDescent="0.3">
      <c r="D32" s="19" t="s">
        <v>80</v>
      </c>
      <c r="E32" s="23" t="s">
        <v>81</v>
      </c>
      <c r="F32" s="53">
        <f>F29/E29-1</f>
        <v>0</v>
      </c>
      <c r="G32" s="53">
        <f t="shared" ref="G32:H34" si="0">G29/F29-1</f>
        <v>0</v>
      </c>
      <c r="H32" s="53">
        <f t="shared" si="0"/>
        <v>0</v>
      </c>
    </row>
    <row r="33" spans="4:8" ht="15.75" thickBot="1" x14ac:dyDescent="0.3">
      <c r="D33" s="19" t="s">
        <v>82</v>
      </c>
      <c r="E33" s="23" t="s">
        <v>81</v>
      </c>
      <c r="F33" s="53">
        <f>F30/E30-1</f>
        <v>0.1079113819930293</v>
      </c>
      <c r="G33" s="53">
        <f t="shared" si="0"/>
        <v>5.0948779992580295E-2</v>
      </c>
      <c r="H33" s="53">
        <f t="shared" si="0"/>
        <v>0.10253894484056625</v>
      </c>
    </row>
    <row r="34" spans="4:8" ht="15.75" thickBot="1" x14ac:dyDescent="0.3">
      <c r="D34" s="19" t="s">
        <v>83</v>
      </c>
      <c r="E34" s="23" t="s">
        <v>81</v>
      </c>
      <c r="F34" s="53">
        <f>F31/E31-1</f>
        <v>0.1079113819930293</v>
      </c>
      <c r="G34" s="53">
        <f t="shared" si="0"/>
        <v>5.0948779992580073E-2</v>
      </c>
      <c r="H34" s="53">
        <f t="shared" si="0"/>
        <v>0.10253894484056625</v>
      </c>
    </row>
    <row r="35" spans="4:8" ht="15.75" thickBot="1" x14ac:dyDescent="0.3">
      <c r="D35" s="338" t="s">
        <v>166</v>
      </c>
      <c r="E35" s="339"/>
      <c r="F35" s="339"/>
      <c r="G35" s="339"/>
      <c r="H35" s="340"/>
    </row>
    <row r="36" spans="4:8" x14ac:dyDescent="0.25">
      <c r="D36" s="350"/>
      <c r="E36" s="20">
        <v>2018</v>
      </c>
      <c r="F36" s="20">
        <v>2019</v>
      </c>
      <c r="G36" s="20">
        <v>2020</v>
      </c>
      <c r="H36" s="20">
        <v>2021</v>
      </c>
    </row>
    <row r="37" spans="4:8" ht="15.75" thickBot="1" x14ac:dyDescent="0.3">
      <c r="D37" s="351"/>
      <c r="E37" s="21" t="s">
        <v>42</v>
      </c>
      <c r="F37" s="21" t="s">
        <v>43</v>
      </c>
      <c r="G37" s="21" t="s">
        <v>43</v>
      </c>
      <c r="H37" s="21" t="s">
        <v>43</v>
      </c>
    </row>
    <row r="38" spans="4:8" ht="15.75" thickBot="1" x14ac:dyDescent="0.3">
      <c r="D38" s="24" t="s">
        <v>85</v>
      </c>
      <c r="E38" s="54">
        <f>342883848/1000</f>
        <v>342883.848</v>
      </c>
      <c r="F38" s="54">
        <f>307773848/1000</f>
        <v>307773.848</v>
      </c>
      <c r="G38" s="54">
        <f>307773848/1000</f>
        <v>307773.848</v>
      </c>
      <c r="H38" s="54">
        <f>307773848/1000</f>
        <v>307773.848</v>
      </c>
    </row>
    <row r="39" spans="4:8" ht="15.75" thickBot="1" x14ac:dyDescent="0.3">
      <c r="D39" s="24" t="s">
        <v>86</v>
      </c>
      <c r="E39" s="54">
        <f>64438233/1000</f>
        <v>64438.233</v>
      </c>
      <c r="F39" s="54">
        <f>47548233/1000</f>
        <v>47548.233</v>
      </c>
      <c r="G39" s="54">
        <f>47548233/1000</f>
        <v>47548.233</v>
      </c>
      <c r="H39" s="54">
        <f>47548233/1000</f>
        <v>47548.233</v>
      </c>
    </row>
    <row r="40" spans="4:8" ht="15.75" thickBot="1" x14ac:dyDescent="0.3">
      <c r="D40" s="24" t="s">
        <v>87</v>
      </c>
      <c r="E40" s="26">
        <f>400277000/1000</f>
        <v>400277</v>
      </c>
      <c r="F40" s="25">
        <f>539588000/1000</f>
        <v>539588</v>
      </c>
      <c r="G40" s="25">
        <f>585259000/1000</f>
        <v>585259</v>
      </c>
      <c r="H40" s="25">
        <f>681859000/1000</f>
        <v>681859</v>
      </c>
    </row>
    <row r="41" spans="4:8" ht="15.75" thickBot="1" x14ac:dyDescent="0.3">
      <c r="D41" s="24" t="s">
        <v>88</v>
      </c>
      <c r="E41" s="55">
        <v>0</v>
      </c>
      <c r="F41" s="54">
        <v>0</v>
      </c>
      <c r="G41" s="54">
        <v>0</v>
      </c>
      <c r="H41" s="54">
        <v>0</v>
      </c>
    </row>
    <row r="42" spans="4:8" ht="15.75" thickBot="1" x14ac:dyDescent="0.3">
      <c r="D42" s="24" t="s">
        <v>89</v>
      </c>
      <c r="E42" s="26">
        <v>0</v>
      </c>
      <c r="F42" s="26">
        <v>0</v>
      </c>
      <c r="G42" s="26">
        <v>0</v>
      </c>
      <c r="H42" s="26">
        <v>0</v>
      </c>
    </row>
    <row r="43" spans="4:8" ht="15.75" thickBot="1" x14ac:dyDescent="0.3">
      <c r="D43" s="24" t="s">
        <v>90</v>
      </c>
      <c r="E43" s="26">
        <f>1260000/1000</f>
        <v>1260</v>
      </c>
      <c r="F43" s="26">
        <f>1260000/1000</f>
        <v>1260</v>
      </c>
      <c r="G43" s="26">
        <f>1260000/1000</f>
        <v>1260</v>
      </c>
      <c r="H43" s="26">
        <f>1260000/1000</f>
        <v>1260</v>
      </c>
    </row>
    <row r="44" spans="4:8" ht="15.75" thickBot="1" x14ac:dyDescent="0.3">
      <c r="D44" s="24" t="s">
        <v>91</v>
      </c>
      <c r="E44" s="26">
        <f>240000/1000</f>
        <v>240</v>
      </c>
      <c r="F44" s="26">
        <f>240000/1000</f>
        <v>240</v>
      </c>
      <c r="G44" s="26">
        <f>240000/1000</f>
        <v>240</v>
      </c>
      <c r="H44" s="26">
        <f>240000/1000</f>
        <v>240</v>
      </c>
    </row>
    <row r="45" spans="4:8" ht="15.75" thickBot="1" x14ac:dyDescent="0.3">
      <c r="D45" s="27" t="s">
        <v>167</v>
      </c>
      <c r="E45" s="26">
        <f>E44+E43+E42+E41+E40+E39+E38</f>
        <v>809099.08100000001</v>
      </c>
      <c r="F45" s="26">
        <f>F44+F43+F42+F41+F40+F39+F38</f>
        <v>896410.08100000001</v>
      </c>
      <c r="G45" s="26">
        <f>G44+G43+G42+G41+G40+G39+G38</f>
        <v>942081.08100000001</v>
      </c>
      <c r="H45" s="26">
        <f>H44+H43+H42+H41+H40+H39+H38</f>
        <v>1038681.081</v>
      </c>
    </row>
    <row r="46" spans="4:8" ht="15.75" thickBot="1" x14ac:dyDescent="0.3">
      <c r="D46" s="28" t="s">
        <v>93</v>
      </c>
      <c r="E46" s="29">
        <f>IF(E45-E30=0,0,"Error")</f>
        <v>0</v>
      </c>
      <c r="F46" s="29">
        <f>IF(F45-F30=0,0,"Error")</f>
        <v>0</v>
      </c>
      <c r="G46" s="29">
        <f>IF(G45-G30=0,0,"Error")</f>
        <v>0</v>
      </c>
      <c r="H46" s="29">
        <f>IF(H45-H30=0,0,"Error")</f>
        <v>0</v>
      </c>
    </row>
    <row r="47" spans="4:8" ht="15.75" thickBot="1" x14ac:dyDescent="0.3">
      <c r="D47" s="341" t="s">
        <v>105</v>
      </c>
      <c r="E47" s="342"/>
      <c r="F47" s="342"/>
      <c r="G47" s="342"/>
      <c r="H47" s="343"/>
    </row>
    <row r="48" spans="4:8" ht="15.75" thickBot="1" x14ac:dyDescent="0.3">
      <c r="D48" s="341" t="s">
        <v>106</v>
      </c>
      <c r="E48" s="342"/>
      <c r="F48" s="342"/>
      <c r="G48" s="342"/>
      <c r="H48" s="343"/>
    </row>
    <row r="49" spans="4:8" ht="15.75" thickBot="1" x14ac:dyDescent="0.3">
      <c r="D49" s="30" t="s">
        <v>168</v>
      </c>
      <c r="E49" s="386" t="s">
        <v>169</v>
      </c>
      <c r="F49" s="387"/>
      <c r="G49" s="387"/>
      <c r="H49" s="388"/>
    </row>
    <row r="50" spans="4:8" ht="15.75" thickBot="1" x14ac:dyDescent="0.3">
      <c r="D50" s="18" t="s">
        <v>162</v>
      </c>
      <c r="E50" s="370" t="s">
        <v>163</v>
      </c>
      <c r="F50" s="371"/>
      <c r="G50" s="371"/>
      <c r="H50" s="372"/>
    </row>
    <row r="51" spans="4:8" ht="15.75" thickBot="1" x14ac:dyDescent="0.3">
      <c r="D51" s="19" t="s">
        <v>73</v>
      </c>
      <c r="E51" s="335" t="s">
        <v>164</v>
      </c>
      <c r="F51" s="336"/>
      <c r="G51" s="336"/>
      <c r="H51" s="337"/>
    </row>
    <row r="52" spans="4:8" ht="15.75" thickBot="1" x14ac:dyDescent="0.3">
      <c r="D52" s="19" t="s">
        <v>75</v>
      </c>
      <c r="E52" s="335"/>
      <c r="F52" s="336"/>
      <c r="G52" s="336"/>
      <c r="H52" s="337"/>
    </row>
    <row r="53" spans="4:8" x14ac:dyDescent="0.25">
      <c r="D53" s="350"/>
      <c r="E53" s="20">
        <v>2018</v>
      </c>
      <c r="F53" s="20">
        <v>2019</v>
      </c>
      <c r="G53" s="20">
        <v>2020</v>
      </c>
      <c r="H53" s="20">
        <v>2021</v>
      </c>
    </row>
    <row r="54" spans="4:8" ht="15.75" thickBot="1" x14ac:dyDescent="0.3">
      <c r="D54" s="351"/>
      <c r="E54" s="21" t="s">
        <v>42</v>
      </c>
      <c r="F54" s="21" t="s">
        <v>43</v>
      </c>
      <c r="G54" s="21" t="s">
        <v>43</v>
      </c>
      <c r="H54" s="21" t="s">
        <v>43</v>
      </c>
    </row>
    <row r="55" spans="4:8" ht="15.75" thickBot="1" x14ac:dyDescent="0.3">
      <c r="D55" s="19" t="s">
        <v>77</v>
      </c>
      <c r="E55" s="22"/>
      <c r="F55" s="22"/>
      <c r="G55" s="22"/>
      <c r="H55" s="22"/>
    </row>
    <row r="56" spans="4:8" ht="15.75" thickBot="1" x14ac:dyDescent="0.3">
      <c r="D56" s="19" t="s">
        <v>78</v>
      </c>
      <c r="E56" s="22">
        <f>17480000/1000</f>
        <v>17480</v>
      </c>
      <c r="F56" s="22">
        <v>0</v>
      </c>
      <c r="G56" s="22">
        <f>10000000/1000</f>
        <v>10000</v>
      </c>
      <c r="H56" s="22">
        <v>0</v>
      </c>
    </row>
    <row r="57" spans="4:8" ht="15.75" thickBot="1" x14ac:dyDescent="0.3">
      <c r="D57" s="19" t="s">
        <v>79</v>
      </c>
      <c r="E57" s="22" t="e">
        <f>E56/E55</f>
        <v>#DIV/0!</v>
      </c>
      <c r="F57" s="22" t="e">
        <f>F56/F55</f>
        <v>#DIV/0!</v>
      </c>
      <c r="G57" s="22" t="e">
        <f>G56/G55</f>
        <v>#DIV/0!</v>
      </c>
      <c r="H57" s="22" t="e">
        <f>H56/H55</f>
        <v>#DIV/0!</v>
      </c>
    </row>
    <row r="58" spans="4:8" ht="15.75" thickBot="1" x14ac:dyDescent="0.3">
      <c r="D58" s="19" t="s">
        <v>80</v>
      </c>
      <c r="E58" s="23" t="s">
        <v>81</v>
      </c>
      <c r="F58" s="13" t="e">
        <f>F55/E55-1</f>
        <v>#DIV/0!</v>
      </c>
      <c r="G58" s="13" t="e">
        <f t="shared" ref="G58:H60" si="1">G55/F55-1</f>
        <v>#DIV/0!</v>
      </c>
      <c r="H58" s="13" t="e">
        <f t="shared" si="1"/>
        <v>#DIV/0!</v>
      </c>
    </row>
    <row r="59" spans="4:8" ht="15.75" thickBot="1" x14ac:dyDescent="0.3">
      <c r="D59" s="19" t="s">
        <v>82</v>
      </c>
      <c r="E59" s="23" t="s">
        <v>81</v>
      </c>
      <c r="F59" s="13">
        <f>F56/E56-1</f>
        <v>-1</v>
      </c>
      <c r="G59" s="13" t="e">
        <f t="shared" si="1"/>
        <v>#DIV/0!</v>
      </c>
      <c r="H59" s="13">
        <f t="shared" si="1"/>
        <v>-1</v>
      </c>
    </row>
    <row r="60" spans="4:8" ht="15.75" thickBot="1" x14ac:dyDescent="0.3">
      <c r="D60" s="19" t="s">
        <v>83</v>
      </c>
      <c r="E60" s="23" t="s">
        <v>81</v>
      </c>
      <c r="F60" s="13" t="e">
        <f>F57/E57-1</f>
        <v>#DIV/0!</v>
      </c>
      <c r="G60" s="13" t="e">
        <f t="shared" si="1"/>
        <v>#DIV/0!</v>
      </c>
      <c r="H60" s="13" t="e">
        <f t="shared" si="1"/>
        <v>#DIV/0!</v>
      </c>
    </row>
    <row r="61" spans="4:8" ht="15.75" thickBot="1" x14ac:dyDescent="0.3">
      <c r="D61" s="338" t="s">
        <v>166</v>
      </c>
      <c r="E61" s="339"/>
      <c r="F61" s="339"/>
      <c r="G61" s="339"/>
      <c r="H61" s="340"/>
    </row>
    <row r="62" spans="4:8" x14ac:dyDescent="0.25">
      <c r="D62" s="350"/>
      <c r="E62" s="20">
        <v>2018</v>
      </c>
      <c r="F62" s="20">
        <v>2019</v>
      </c>
      <c r="G62" s="20">
        <v>2020</v>
      </c>
      <c r="H62" s="20">
        <v>2021</v>
      </c>
    </row>
    <row r="63" spans="4:8" ht="15.75" thickBot="1" x14ac:dyDescent="0.3">
      <c r="D63" s="351"/>
      <c r="E63" s="21" t="s">
        <v>42</v>
      </c>
      <c r="F63" s="21" t="s">
        <v>43</v>
      </c>
      <c r="G63" s="21" t="s">
        <v>43</v>
      </c>
      <c r="H63" s="21" t="s">
        <v>43</v>
      </c>
    </row>
    <row r="64" spans="4:8" ht="15.75" thickBot="1" x14ac:dyDescent="0.3">
      <c r="D64" s="24" t="s">
        <v>170</v>
      </c>
      <c r="E64" s="25"/>
      <c r="F64" s="25"/>
      <c r="G64" s="25"/>
      <c r="H64" s="25"/>
    </row>
    <row r="65" spans="4:8" ht="15.75" thickBot="1" x14ac:dyDescent="0.3">
      <c r="D65" s="24" t="s">
        <v>113</v>
      </c>
      <c r="E65" s="55">
        <f>17480000/1000</f>
        <v>17480</v>
      </c>
      <c r="F65" s="56">
        <v>0</v>
      </c>
      <c r="G65" s="56">
        <f>10000000/1000</f>
        <v>10000</v>
      </c>
      <c r="H65" s="56">
        <v>0</v>
      </c>
    </row>
    <row r="66" spans="4:8" ht="15.75" thickBot="1" x14ac:dyDescent="0.3">
      <c r="D66" s="27" t="s">
        <v>167</v>
      </c>
      <c r="E66" s="26">
        <f>E65+E64</f>
        <v>17480</v>
      </c>
      <c r="F66" s="26">
        <f>F65+F64</f>
        <v>0</v>
      </c>
      <c r="G66" s="26">
        <f>G65+G64</f>
        <v>10000</v>
      </c>
      <c r="H66" s="26">
        <f>H65+H64</f>
        <v>0</v>
      </c>
    </row>
    <row r="67" spans="4:8" x14ac:dyDescent="0.25">
      <c r="D67" s="355" t="s">
        <v>114</v>
      </c>
      <c r="E67" s="358"/>
      <c r="F67" s="359"/>
      <c r="G67" s="359"/>
      <c r="H67" s="360"/>
    </row>
    <row r="68" spans="4:8" x14ac:dyDescent="0.25">
      <c r="D68" s="356"/>
      <c r="E68" s="361"/>
      <c r="F68" s="362"/>
      <c r="G68" s="362"/>
      <c r="H68" s="363"/>
    </row>
    <row r="69" spans="4:8" ht="15.75" thickBot="1" x14ac:dyDescent="0.3">
      <c r="D69" s="357"/>
      <c r="E69" s="364"/>
      <c r="F69" s="365"/>
      <c r="G69" s="365"/>
      <c r="H69" s="366"/>
    </row>
    <row r="70" spans="4:8" ht="15.75" thickBot="1" x14ac:dyDescent="0.3">
      <c r="D70" s="341" t="s">
        <v>105</v>
      </c>
      <c r="E70" s="342"/>
      <c r="F70" s="342"/>
      <c r="G70" s="342"/>
      <c r="H70" s="343"/>
    </row>
    <row r="71" spans="4:8" ht="15.75" thickBot="1" x14ac:dyDescent="0.3">
      <c r="D71" s="341" t="s">
        <v>171</v>
      </c>
      <c r="E71" s="342"/>
      <c r="F71" s="342"/>
      <c r="G71" s="342"/>
      <c r="H71" s="343"/>
    </row>
    <row r="72" spans="4:8" ht="15.75" thickBot="1" x14ac:dyDescent="0.3">
      <c r="D72" s="30" t="s">
        <v>172</v>
      </c>
      <c r="E72" s="386" t="s">
        <v>173</v>
      </c>
      <c r="F72" s="387"/>
      <c r="G72" s="387"/>
      <c r="H72" s="388"/>
    </row>
    <row r="73" spans="4:8" ht="15.75" thickBot="1" x14ac:dyDescent="0.3">
      <c r="D73" s="18" t="s">
        <v>162</v>
      </c>
      <c r="E73" s="370" t="s">
        <v>163</v>
      </c>
      <c r="F73" s="371"/>
      <c r="G73" s="371"/>
      <c r="H73" s="372"/>
    </row>
    <row r="74" spans="4:8" ht="15.75" thickBot="1" x14ac:dyDescent="0.3">
      <c r="D74" s="19" t="s">
        <v>73</v>
      </c>
      <c r="E74" s="335" t="s">
        <v>164</v>
      </c>
      <c r="F74" s="336"/>
      <c r="G74" s="336"/>
      <c r="H74" s="337"/>
    </row>
    <row r="75" spans="4:8" ht="15.75" thickBot="1" x14ac:dyDescent="0.3">
      <c r="D75" s="19" t="s">
        <v>75</v>
      </c>
      <c r="E75" s="335" t="s">
        <v>174</v>
      </c>
      <c r="F75" s="336"/>
      <c r="G75" s="336"/>
      <c r="H75" s="337"/>
    </row>
    <row r="76" spans="4:8" x14ac:dyDescent="0.25">
      <c r="D76" s="350"/>
      <c r="E76" s="20">
        <v>2018</v>
      </c>
      <c r="F76" s="20">
        <v>2019</v>
      </c>
      <c r="G76" s="20">
        <v>2020</v>
      </c>
      <c r="H76" s="20">
        <v>2021</v>
      </c>
    </row>
    <row r="77" spans="4:8" ht="15.75" thickBot="1" x14ac:dyDescent="0.3">
      <c r="D77" s="351"/>
      <c r="E77" s="21" t="s">
        <v>42</v>
      </c>
      <c r="F77" s="21" t="s">
        <v>43</v>
      </c>
      <c r="G77" s="21" t="s">
        <v>43</v>
      </c>
      <c r="H77" s="21" t="s">
        <v>43</v>
      </c>
    </row>
    <row r="78" spans="4:8" ht="15.75" thickBot="1" x14ac:dyDescent="0.3">
      <c r="D78" s="19" t="s">
        <v>77</v>
      </c>
      <c r="E78" s="22">
        <v>1</v>
      </c>
      <c r="F78" s="22">
        <v>1</v>
      </c>
      <c r="G78" s="22">
        <v>1</v>
      </c>
      <c r="H78" s="22"/>
    </row>
    <row r="79" spans="4:8" ht="15.75" thickBot="1" x14ac:dyDescent="0.3">
      <c r="D79" s="19" t="s">
        <v>78</v>
      </c>
      <c r="E79" s="22">
        <f>5520000/1000</f>
        <v>5520</v>
      </c>
      <c r="F79" s="22">
        <f>6210000/1000</f>
        <v>6210</v>
      </c>
      <c r="G79" s="22">
        <f>7000000/1000</f>
        <v>7000</v>
      </c>
      <c r="H79" s="22"/>
    </row>
    <row r="80" spans="4:8" ht="15.75" thickBot="1" x14ac:dyDescent="0.3">
      <c r="D80" s="19" t="s">
        <v>79</v>
      </c>
      <c r="E80" s="22">
        <f>E79/E78</f>
        <v>5520</v>
      </c>
      <c r="F80" s="22">
        <f>F79/F78</f>
        <v>6210</v>
      </c>
      <c r="G80" s="22">
        <f>G79/G78</f>
        <v>7000</v>
      </c>
      <c r="H80" s="22" t="e">
        <f>H79/H78</f>
        <v>#DIV/0!</v>
      </c>
    </row>
    <row r="81" spans="4:8" ht="15.75" thickBot="1" x14ac:dyDescent="0.3">
      <c r="D81" s="19" t="s">
        <v>80</v>
      </c>
      <c r="E81" s="23" t="s">
        <v>81</v>
      </c>
      <c r="F81" s="13">
        <f>F78/E78-1</f>
        <v>0</v>
      </c>
      <c r="G81" s="13">
        <f t="shared" ref="G81:H83" si="2">G78/F78-1</f>
        <v>0</v>
      </c>
      <c r="H81" s="13">
        <f t="shared" si="2"/>
        <v>-1</v>
      </c>
    </row>
    <row r="82" spans="4:8" ht="15.75" thickBot="1" x14ac:dyDescent="0.3">
      <c r="D82" s="19" t="s">
        <v>82</v>
      </c>
      <c r="E82" s="23" t="s">
        <v>81</v>
      </c>
      <c r="F82" s="13">
        <f>F79/E79-1</f>
        <v>0.125</v>
      </c>
      <c r="G82" s="13">
        <f t="shared" si="2"/>
        <v>0.12721417069243146</v>
      </c>
      <c r="H82" s="13">
        <f t="shared" si="2"/>
        <v>-1</v>
      </c>
    </row>
    <row r="83" spans="4:8" ht="15.75" thickBot="1" x14ac:dyDescent="0.3">
      <c r="D83" s="19" t="s">
        <v>83</v>
      </c>
      <c r="E83" s="23" t="s">
        <v>81</v>
      </c>
      <c r="F83" s="13">
        <f>F80/E80-1</f>
        <v>0.125</v>
      </c>
      <c r="G83" s="13">
        <f t="shared" si="2"/>
        <v>0.12721417069243146</v>
      </c>
      <c r="H83" s="13" t="e">
        <f t="shared" si="2"/>
        <v>#DIV/0!</v>
      </c>
    </row>
    <row r="84" spans="4:8" ht="15.75" thickBot="1" x14ac:dyDescent="0.3">
      <c r="D84" s="338" t="s">
        <v>166</v>
      </c>
      <c r="E84" s="339"/>
      <c r="F84" s="339"/>
      <c r="G84" s="339"/>
      <c r="H84" s="340"/>
    </row>
    <row r="85" spans="4:8" x14ac:dyDescent="0.25">
      <c r="D85" s="350"/>
      <c r="E85" s="20">
        <v>2018</v>
      </c>
      <c r="F85" s="20">
        <v>2019</v>
      </c>
      <c r="G85" s="20">
        <v>2020</v>
      </c>
      <c r="H85" s="20">
        <v>2021</v>
      </c>
    </row>
    <row r="86" spans="4:8" ht="15.75" thickBot="1" x14ac:dyDescent="0.3">
      <c r="D86" s="351"/>
      <c r="E86" s="21" t="s">
        <v>42</v>
      </c>
      <c r="F86" s="21" t="s">
        <v>43</v>
      </c>
      <c r="G86" s="21" t="s">
        <v>43</v>
      </c>
      <c r="H86" s="21" t="s">
        <v>43</v>
      </c>
    </row>
    <row r="87" spans="4:8" ht="15.75" thickBot="1" x14ac:dyDescent="0.3">
      <c r="D87" s="24" t="s">
        <v>170</v>
      </c>
      <c r="E87" s="22">
        <f>5520000/1000</f>
        <v>5520</v>
      </c>
      <c r="F87" s="22">
        <f>6210000/1000</f>
        <v>6210</v>
      </c>
      <c r="G87" s="22">
        <f>7000000/1000</f>
        <v>7000</v>
      </c>
      <c r="H87" s="22"/>
    </row>
    <row r="88" spans="4:8" ht="15.75" thickBot="1" x14ac:dyDescent="0.3">
      <c r="D88" s="24" t="s">
        <v>113</v>
      </c>
      <c r="E88" s="26"/>
      <c r="F88" s="25"/>
      <c r="G88" s="25"/>
      <c r="H88" s="25"/>
    </row>
    <row r="89" spans="4:8" ht="15.75" thickBot="1" x14ac:dyDescent="0.3">
      <c r="D89" s="27" t="s">
        <v>167</v>
      </c>
      <c r="E89" s="26">
        <f>E88+E87</f>
        <v>5520</v>
      </c>
      <c r="F89" s="26">
        <f>F88+F87</f>
        <v>6210</v>
      </c>
      <c r="G89" s="26">
        <f>G88+G87</f>
        <v>7000</v>
      </c>
      <c r="H89" s="26">
        <f>H88+H87</f>
        <v>0</v>
      </c>
    </row>
    <row r="90" spans="4:8" ht="15.75" thickBot="1" x14ac:dyDescent="0.3">
      <c r="D90" s="30" t="s">
        <v>175</v>
      </c>
      <c r="E90" s="386" t="s">
        <v>176</v>
      </c>
      <c r="F90" s="387"/>
      <c r="G90" s="387"/>
      <c r="H90" s="388"/>
    </row>
    <row r="91" spans="4:8" ht="15.75" thickBot="1" x14ac:dyDescent="0.3">
      <c r="D91" s="18" t="s">
        <v>162</v>
      </c>
      <c r="E91" s="370" t="s">
        <v>163</v>
      </c>
      <c r="F91" s="371"/>
      <c r="G91" s="371"/>
      <c r="H91" s="372"/>
    </row>
    <row r="92" spans="4:8" ht="15.75" thickBot="1" x14ac:dyDescent="0.3">
      <c r="D92" s="19" t="s">
        <v>73</v>
      </c>
      <c r="E92" s="335" t="s">
        <v>164</v>
      </c>
      <c r="F92" s="336"/>
      <c r="G92" s="336"/>
      <c r="H92" s="337"/>
    </row>
    <row r="93" spans="4:8" ht="15.75" thickBot="1" x14ac:dyDescent="0.3">
      <c r="D93" s="19" t="s">
        <v>75</v>
      </c>
      <c r="E93" s="335"/>
      <c r="F93" s="336"/>
      <c r="G93" s="336"/>
      <c r="H93" s="337"/>
    </row>
    <row r="94" spans="4:8" x14ac:dyDescent="0.25">
      <c r="D94" s="350"/>
      <c r="E94" s="20">
        <v>2018</v>
      </c>
      <c r="F94" s="20">
        <v>2019</v>
      </c>
      <c r="G94" s="20">
        <v>2020</v>
      </c>
      <c r="H94" s="20">
        <v>2021</v>
      </c>
    </row>
    <row r="95" spans="4:8" ht="15.75" thickBot="1" x14ac:dyDescent="0.3">
      <c r="D95" s="351"/>
      <c r="E95" s="21" t="s">
        <v>42</v>
      </c>
      <c r="F95" s="21" t="s">
        <v>43</v>
      </c>
      <c r="G95" s="21" t="s">
        <v>43</v>
      </c>
      <c r="H95" s="21" t="s">
        <v>43</v>
      </c>
    </row>
    <row r="96" spans="4:8" ht="15.75" thickBot="1" x14ac:dyDescent="0.3">
      <c r="D96" s="19" t="s">
        <v>77</v>
      </c>
      <c r="E96" s="22"/>
      <c r="F96" s="22"/>
      <c r="G96" s="22"/>
      <c r="H96" s="22"/>
    </row>
    <row r="97" spans="4:8" ht="15.75" thickBot="1" x14ac:dyDescent="0.3">
      <c r="D97" s="19" t="s">
        <v>78</v>
      </c>
      <c r="E97" s="22">
        <f>16500000/1000</f>
        <v>16500</v>
      </c>
      <c r="F97" s="22"/>
      <c r="G97" s="22"/>
      <c r="H97" s="22"/>
    </row>
    <row r="98" spans="4:8" ht="15.75" thickBot="1" x14ac:dyDescent="0.3">
      <c r="D98" s="19" t="s">
        <v>79</v>
      </c>
      <c r="E98" s="22" t="e">
        <f>E97/E96</f>
        <v>#DIV/0!</v>
      </c>
      <c r="F98" s="22" t="e">
        <f>F97/F96</f>
        <v>#DIV/0!</v>
      </c>
      <c r="G98" s="22" t="e">
        <f>G97/G96</f>
        <v>#DIV/0!</v>
      </c>
      <c r="H98" s="22" t="e">
        <f>H97/H96</f>
        <v>#DIV/0!</v>
      </c>
    </row>
    <row r="99" spans="4:8" ht="15.75" thickBot="1" x14ac:dyDescent="0.3">
      <c r="D99" s="19" t="s">
        <v>80</v>
      </c>
      <c r="E99" s="23" t="s">
        <v>81</v>
      </c>
      <c r="F99" s="13" t="e">
        <f>F96/E96-1</f>
        <v>#DIV/0!</v>
      </c>
      <c r="G99" s="13" t="e">
        <f t="shared" ref="G99:H101" si="3">G96/F96-1</f>
        <v>#DIV/0!</v>
      </c>
      <c r="H99" s="13" t="e">
        <f t="shared" si="3"/>
        <v>#DIV/0!</v>
      </c>
    </row>
    <row r="100" spans="4:8" ht="15.75" thickBot="1" x14ac:dyDescent="0.3">
      <c r="D100" s="19" t="s">
        <v>82</v>
      </c>
      <c r="E100" s="23" t="s">
        <v>81</v>
      </c>
      <c r="F100" s="13">
        <f>F97/E97-1</f>
        <v>-1</v>
      </c>
      <c r="G100" s="13" t="e">
        <f t="shared" si="3"/>
        <v>#DIV/0!</v>
      </c>
      <c r="H100" s="13" t="e">
        <f t="shared" si="3"/>
        <v>#DIV/0!</v>
      </c>
    </row>
    <row r="101" spans="4:8" ht="15.75" thickBot="1" x14ac:dyDescent="0.3">
      <c r="D101" s="19" t="s">
        <v>83</v>
      </c>
      <c r="E101" s="23" t="s">
        <v>81</v>
      </c>
      <c r="F101" s="13" t="e">
        <f>F98/E98-1</f>
        <v>#DIV/0!</v>
      </c>
      <c r="G101" s="13" t="e">
        <f t="shared" si="3"/>
        <v>#DIV/0!</v>
      </c>
      <c r="H101" s="13" t="e">
        <f t="shared" si="3"/>
        <v>#DIV/0!</v>
      </c>
    </row>
    <row r="102" spans="4:8" ht="15.75" thickBot="1" x14ac:dyDescent="0.3">
      <c r="D102" s="338" t="s">
        <v>166</v>
      </c>
      <c r="E102" s="339"/>
      <c r="F102" s="339"/>
      <c r="G102" s="339"/>
      <c r="H102" s="340"/>
    </row>
    <row r="103" spans="4:8" x14ac:dyDescent="0.25">
      <c r="D103" s="350"/>
      <c r="E103" s="20">
        <v>2018</v>
      </c>
      <c r="F103" s="20">
        <v>2019</v>
      </c>
      <c r="G103" s="20">
        <v>2020</v>
      </c>
      <c r="H103" s="20">
        <v>2021</v>
      </c>
    </row>
    <row r="104" spans="4:8" ht="15.75" thickBot="1" x14ac:dyDescent="0.3">
      <c r="D104" s="351"/>
      <c r="E104" s="21" t="s">
        <v>42</v>
      </c>
      <c r="F104" s="21" t="s">
        <v>43</v>
      </c>
      <c r="G104" s="21" t="s">
        <v>43</v>
      </c>
      <c r="H104" s="21" t="s">
        <v>43</v>
      </c>
    </row>
    <row r="105" spans="4:8" ht="15.75" thickBot="1" x14ac:dyDescent="0.3">
      <c r="D105" s="24" t="s">
        <v>170</v>
      </c>
      <c r="E105" s="25"/>
      <c r="F105" s="25"/>
      <c r="G105" s="25"/>
      <c r="H105" s="25"/>
    </row>
    <row r="106" spans="4:8" ht="15.75" thickBot="1" x14ac:dyDescent="0.3">
      <c r="D106" s="24" t="s">
        <v>113</v>
      </c>
      <c r="E106" s="55">
        <f>16500000/1000</f>
        <v>16500</v>
      </c>
      <c r="F106" s="54">
        <v>0</v>
      </c>
      <c r="G106" s="54">
        <v>0</v>
      </c>
      <c r="H106" s="54">
        <v>0</v>
      </c>
    </row>
    <row r="107" spans="4:8" ht="15.75" thickBot="1" x14ac:dyDescent="0.3">
      <c r="D107" s="57" t="s">
        <v>177</v>
      </c>
      <c r="E107" s="26">
        <f>E106+E105</f>
        <v>16500</v>
      </c>
      <c r="F107" s="26">
        <f>F106+F105</f>
        <v>0</v>
      </c>
      <c r="G107" s="26">
        <f>G106+G105</f>
        <v>0</v>
      </c>
      <c r="H107" s="26">
        <f>H106+H105</f>
        <v>0</v>
      </c>
    </row>
    <row r="108" spans="4:8" ht="15.75" thickBot="1" x14ac:dyDescent="0.3">
      <c r="D108" s="58" t="s">
        <v>178</v>
      </c>
      <c r="E108" s="386" t="s">
        <v>179</v>
      </c>
      <c r="F108" s="387"/>
      <c r="G108" s="387"/>
      <c r="H108" s="388"/>
    </row>
    <row r="109" spans="4:8" ht="15.75" thickBot="1" x14ac:dyDescent="0.3">
      <c r="D109" s="18" t="s">
        <v>162</v>
      </c>
      <c r="E109" s="370" t="s">
        <v>163</v>
      </c>
      <c r="F109" s="371"/>
      <c r="G109" s="371"/>
      <c r="H109" s="372"/>
    </row>
    <row r="110" spans="4:8" ht="15.75" thickBot="1" x14ac:dyDescent="0.3">
      <c r="D110" s="19" t="s">
        <v>73</v>
      </c>
      <c r="E110" s="335" t="s">
        <v>164</v>
      </c>
      <c r="F110" s="336"/>
      <c r="G110" s="336"/>
      <c r="H110" s="337"/>
    </row>
    <row r="111" spans="4:8" ht="15.75" thickBot="1" x14ac:dyDescent="0.3">
      <c r="D111" s="19" t="s">
        <v>75</v>
      </c>
      <c r="E111" s="335"/>
      <c r="F111" s="336"/>
      <c r="G111" s="336"/>
      <c r="H111" s="337"/>
    </row>
    <row r="112" spans="4:8" x14ac:dyDescent="0.25">
      <c r="D112" s="350"/>
      <c r="E112" s="20">
        <v>2018</v>
      </c>
      <c r="F112" s="20">
        <v>2019</v>
      </c>
      <c r="G112" s="20">
        <v>2020</v>
      </c>
      <c r="H112" s="20">
        <v>2021</v>
      </c>
    </row>
    <row r="113" spans="4:8" ht="15.75" thickBot="1" x14ac:dyDescent="0.3">
      <c r="D113" s="351"/>
      <c r="E113" s="21" t="s">
        <v>42</v>
      </c>
      <c r="F113" s="21" t="s">
        <v>43</v>
      </c>
      <c r="G113" s="21" t="s">
        <v>43</v>
      </c>
      <c r="H113" s="21" t="s">
        <v>43</v>
      </c>
    </row>
    <row r="114" spans="4:8" ht="15.75" thickBot="1" x14ac:dyDescent="0.3">
      <c r="D114" s="19" t="s">
        <v>77</v>
      </c>
      <c r="E114" s="22"/>
      <c r="F114" s="22">
        <v>0</v>
      </c>
      <c r="G114" s="22">
        <v>0</v>
      </c>
      <c r="H114" s="22">
        <v>0</v>
      </c>
    </row>
    <row r="115" spans="4:8" ht="15.75" thickBot="1" x14ac:dyDescent="0.3">
      <c r="D115" s="19" t="s">
        <v>78</v>
      </c>
      <c r="E115" s="22">
        <f>43500000/1000</f>
        <v>43500</v>
      </c>
      <c r="F115" s="22">
        <v>0</v>
      </c>
      <c r="G115" s="22">
        <v>0</v>
      </c>
      <c r="H115" s="22">
        <v>0</v>
      </c>
    </row>
    <row r="116" spans="4:8" ht="15.75" thickBot="1" x14ac:dyDescent="0.3">
      <c r="D116" s="19" t="s">
        <v>79</v>
      </c>
      <c r="E116" s="22" t="e">
        <f>E115/E114</f>
        <v>#DIV/0!</v>
      </c>
      <c r="F116" s="22" t="e">
        <f>F115/F114</f>
        <v>#DIV/0!</v>
      </c>
      <c r="G116" s="22" t="e">
        <f>G115/G114</f>
        <v>#DIV/0!</v>
      </c>
      <c r="H116" s="22" t="e">
        <f>H115/H114</f>
        <v>#DIV/0!</v>
      </c>
    </row>
    <row r="117" spans="4:8" ht="15.75" thickBot="1" x14ac:dyDescent="0.3">
      <c r="D117" s="19" t="s">
        <v>80</v>
      </c>
      <c r="E117" s="23" t="s">
        <v>81</v>
      </c>
      <c r="F117" s="53" t="e">
        <f t="shared" ref="F117:H119" si="4">F114/E114-1</f>
        <v>#DIV/0!</v>
      </c>
      <c r="G117" s="53" t="e">
        <f t="shared" si="4"/>
        <v>#DIV/0!</v>
      </c>
      <c r="H117" s="53" t="e">
        <f t="shared" si="4"/>
        <v>#DIV/0!</v>
      </c>
    </row>
    <row r="118" spans="4:8" ht="15.75" thickBot="1" x14ac:dyDescent="0.3">
      <c r="D118" s="19" t="s">
        <v>82</v>
      </c>
      <c r="E118" s="23" t="s">
        <v>81</v>
      </c>
      <c r="F118" s="53">
        <f t="shared" si="4"/>
        <v>-1</v>
      </c>
      <c r="G118" s="53" t="e">
        <f t="shared" si="4"/>
        <v>#DIV/0!</v>
      </c>
      <c r="H118" s="53" t="e">
        <f t="shared" si="4"/>
        <v>#DIV/0!</v>
      </c>
    </row>
    <row r="119" spans="4:8" ht="15.75" thickBot="1" x14ac:dyDescent="0.3">
      <c r="D119" s="19" t="s">
        <v>83</v>
      </c>
      <c r="E119" s="23" t="s">
        <v>81</v>
      </c>
      <c r="F119" s="53" t="e">
        <f t="shared" si="4"/>
        <v>#DIV/0!</v>
      </c>
      <c r="G119" s="53" t="e">
        <f t="shared" si="4"/>
        <v>#DIV/0!</v>
      </c>
      <c r="H119" s="53" t="e">
        <f t="shared" si="4"/>
        <v>#DIV/0!</v>
      </c>
    </row>
    <row r="120" spans="4:8" ht="15.75" thickBot="1" x14ac:dyDescent="0.3">
      <c r="D120" s="338" t="s">
        <v>180</v>
      </c>
      <c r="E120" s="339"/>
      <c r="F120" s="339"/>
      <c r="G120" s="339"/>
      <c r="H120" s="340"/>
    </row>
    <row r="121" spans="4:8" x14ac:dyDescent="0.25">
      <c r="D121" s="350"/>
      <c r="E121" s="20">
        <v>2018</v>
      </c>
      <c r="F121" s="20">
        <v>2019</v>
      </c>
      <c r="G121" s="20">
        <v>2020</v>
      </c>
      <c r="H121" s="20">
        <v>2021</v>
      </c>
    </row>
    <row r="122" spans="4:8" ht="15.75" thickBot="1" x14ac:dyDescent="0.3">
      <c r="D122" s="351"/>
      <c r="E122" s="21" t="s">
        <v>42</v>
      </c>
      <c r="F122" s="21" t="s">
        <v>43</v>
      </c>
      <c r="G122" s="21" t="s">
        <v>43</v>
      </c>
      <c r="H122" s="21" t="s">
        <v>43</v>
      </c>
    </row>
    <row r="123" spans="4:8" ht="15.75" thickBot="1" x14ac:dyDescent="0.3">
      <c r="D123" s="59" t="s">
        <v>170</v>
      </c>
      <c r="E123" s="54"/>
      <c r="F123" s="54"/>
      <c r="G123" s="54"/>
      <c r="H123" s="54"/>
    </row>
    <row r="124" spans="4:8" ht="15.75" thickBot="1" x14ac:dyDescent="0.3">
      <c r="D124" s="59" t="s">
        <v>113</v>
      </c>
      <c r="E124" s="55">
        <f>43500000/1000</f>
        <v>43500</v>
      </c>
      <c r="F124" s="54">
        <v>0</v>
      </c>
      <c r="G124" s="54">
        <v>0</v>
      </c>
      <c r="H124" s="54">
        <v>0</v>
      </c>
    </row>
    <row r="125" spans="4:8" ht="15.75" thickBot="1" x14ac:dyDescent="0.3">
      <c r="D125" s="60" t="s">
        <v>167</v>
      </c>
      <c r="E125" s="55">
        <f>E124+E123</f>
        <v>43500</v>
      </c>
      <c r="F125" s="55">
        <f>F124+F123</f>
        <v>0</v>
      </c>
      <c r="G125" s="55">
        <f>G124+G123</f>
        <v>0</v>
      </c>
      <c r="H125" s="55">
        <f>H124+H123</f>
        <v>0</v>
      </c>
    </row>
    <row r="126" spans="4:8" ht="15.75" thickBot="1" x14ac:dyDescent="0.3">
      <c r="D126" s="58"/>
      <c r="E126" s="386" t="s">
        <v>181</v>
      </c>
      <c r="F126" s="387"/>
      <c r="G126" s="387"/>
      <c r="H126" s="388"/>
    </row>
    <row r="127" spans="4:8" ht="15.75" thickBot="1" x14ac:dyDescent="0.3">
      <c r="D127" s="18" t="s">
        <v>162</v>
      </c>
      <c r="E127" s="370" t="s">
        <v>163</v>
      </c>
      <c r="F127" s="371"/>
      <c r="G127" s="371"/>
      <c r="H127" s="372"/>
    </row>
    <row r="128" spans="4:8" ht="15.75" thickBot="1" x14ac:dyDescent="0.3">
      <c r="D128" s="19" t="s">
        <v>73</v>
      </c>
      <c r="E128" s="335" t="s">
        <v>164</v>
      </c>
      <c r="F128" s="336"/>
      <c r="G128" s="336"/>
      <c r="H128" s="337"/>
    </row>
    <row r="129" spans="4:8" ht="15.75" thickBot="1" x14ac:dyDescent="0.3">
      <c r="D129" s="19" t="s">
        <v>75</v>
      </c>
      <c r="E129" s="335"/>
      <c r="F129" s="336"/>
      <c r="G129" s="336"/>
      <c r="H129" s="337"/>
    </row>
    <row r="130" spans="4:8" x14ac:dyDescent="0.25">
      <c r="D130" s="350"/>
      <c r="E130" s="20">
        <v>2018</v>
      </c>
      <c r="F130" s="20">
        <v>2019</v>
      </c>
      <c r="G130" s="20">
        <v>2020</v>
      </c>
      <c r="H130" s="20">
        <v>2021</v>
      </c>
    </row>
    <row r="131" spans="4:8" ht="15.75" thickBot="1" x14ac:dyDescent="0.3">
      <c r="D131" s="351"/>
      <c r="E131" s="21" t="s">
        <v>42</v>
      </c>
      <c r="F131" s="21" t="s">
        <v>43</v>
      </c>
      <c r="G131" s="21" t="s">
        <v>43</v>
      </c>
      <c r="H131" s="21" t="s">
        <v>43</v>
      </c>
    </row>
    <row r="132" spans="4:8" ht="15.75" thickBot="1" x14ac:dyDescent="0.3">
      <c r="D132" s="19" t="s">
        <v>77</v>
      </c>
      <c r="E132" s="22"/>
      <c r="F132" s="22">
        <v>0</v>
      </c>
      <c r="G132" s="22">
        <v>0</v>
      </c>
      <c r="H132" s="22">
        <v>0</v>
      </c>
    </row>
    <row r="133" spans="4:8" ht="15.75" thickBot="1" x14ac:dyDescent="0.3">
      <c r="D133" s="19" t="s">
        <v>78</v>
      </c>
      <c r="E133" s="22">
        <f>10720000/1000</f>
        <v>10720</v>
      </c>
      <c r="F133" s="22">
        <v>0</v>
      </c>
      <c r="G133" s="22">
        <v>0</v>
      </c>
      <c r="H133" s="22">
        <v>0</v>
      </c>
    </row>
    <row r="134" spans="4:8" ht="15.75" thickBot="1" x14ac:dyDescent="0.3">
      <c r="D134" s="19" t="s">
        <v>79</v>
      </c>
      <c r="E134" s="22" t="e">
        <f>E133/E132</f>
        <v>#DIV/0!</v>
      </c>
      <c r="F134" s="22" t="e">
        <f>F133/F132</f>
        <v>#DIV/0!</v>
      </c>
      <c r="G134" s="22" t="e">
        <f>G133/G132</f>
        <v>#DIV/0!</v>
      </c>
      <c r="H134" s="22" t="e">
        <f>H133/H132</f>
        <v>#DIV/0!</v>
      </c>
    </row>
    <row r="135" spans="4:8" ht="15.75" thickBot="1" x14ac:dyDescent="0.3">
      <c r="D135" s="19" t="s">
        <v>80</v>
      </c>
      <c r="E135" s="23" t="s">
        <v>81</v>
      </c>
      <c r="F135" s="53" t="e">
        <f t="shared" ref="F135:H137" si="5">F132/E132-1</f>
        <v>#DIV/0!</v>
      </c>
      <c r="G135" s="53" t="e">
        <f t="shared" si="5"/>
        <v>#DIV/0!</v>
      </c>
      <c r="H135" s="53" t="e">
        <f t="shared" si="5"/>
        <v>#DIV/0!</v>
      </c>
    </row>
    <row r="136" spans="4:8" ht="15.75" thickBot="1" x14ac:dyDescent="0.3">
      <c r="D136" s="19" t="s">
        <v>82</v>
      </c>
      <c r="E136" s="23" t="s">
        <v>81</v>
      </c>
      <c r="F136" s="53">
        <f t="shared" si="5"/>
        <v>-1</v>
      </c>
      <c r="G136" s="53" t="e">
        <f t="shared" si="5"/>
        <v>#DIV/0!</v>
      </c>
      <c r="H136" s="53" t="e">
        <f t="shared" si="5"/>
        <v>#DIV/0!</v>
      </c>
    </row>
    <row r="137" spans="4:8" ht="15.75" thickBot="1" x14ac:dyDescent="0.3">
      <c r="D137" s="19" t="s">
        <v>83</v>
      </c>
      <c r="E137" s="23" t="s">
        <v>81</v>
      </c>
      <c r="F137" s="53" t="e">
        <f t="shared" si="5"/>
        <v>#DIV/0!</v>
      </c>
      <c r="G137" s="53" t="e">
        <f t="shared" si="5"/>
        <v>#DIV/0!</v>
      </c>
      <c r="H137" s="53" t="e">
        <f t="shared" si="5"/>
        <v>#DIV/0!</v>
      </c>
    </row>
    <row r="138" spans="4:8" ht="15.75" thickBot="1" x14ac:dyDescent="0.3">
      <c r="D138" s="338" t="s">
        <v>166</v>
      </c>
      <c r="E138" s="339"/>
      <c r="F138" s="339"/>
      <c r="G138" s="339"/>
      <c r="H138" s="340"/>
    </row>
    <row r="139" spans="4:8" x14ac:dyDescent="0.25">
      <c r="D139" s="350"/>
      <c r="E139" s="20">
        <v>2018</v>
      </c>
      <c r="F139" s="20">
        <v>2019</v>
      </c>
      <c r="G139" s="20">
        <v>2020</v>
      </c>
      <c r="H139" s="20">
        <v>2021</v>
      </c>
    </row>
    <row r="140" spans="4:8" ht="15.75" thickBot="1" x14ac:dyDescent="0.3">
      <c r="D140" s="351"/>
      <c r="E140" s="21" t="s">
        <v>42</v>
      </c>
      <c r="F140" s="21" t="s">
        <v>43</v>
      </c>
      <c r="G140" s="21" t="s">
        <v>43</v>
      </c>
      <c r="H140" s="21" t="s">
        <v>43</v>
      </c>
    </row>
    <row r="141" spans="4:8" ht="15.75" thickBot="1" x14ac:dyDescent="0.3">
      <c r="D141" s="59" t="s">
        <v>170</v>
      </c>
      <c r="E141" s="54"/>
      <c r="F141" s="54"/>
      <c r="G141" s="54"/>
      <c r="H141" s="54"/>
    </row>
    <row r="142" spans="4:8" ht="15.75" thickBot="1" x14ac:dyDescent="0.3">
      <c r="D142" s="59" t="s">
        <v>113</v>
      </c>
      <c r="E142" s="55">
        <f>10720000/1000</f>
        <v>10720</v>
      </c>
      <c r="F142" s="54">
        <v>0</v>
      </c>
      <c r="G142" s="54">
        <v>0</v>
      </c>
      <c r="H142" s="54">
        <v>0</v>
      </c>
    </row>
    <row r="143" spans="4:8" ht="15.75" thickBot="1" x14ac:dyDescent="0.3">
      <c r="D143" s="60" t="s">
        <v>167</v>
      </c>
      <c r="E143" s="55">
        <f>E142+E141</f>
        <v>10720</v>
      </c>
      <c r="F143" s="55">
        <f>F142+F141</f>
        <v>0</v>
      </c>
      <c r="G143" s="55">
        <f>G142+G141</f>
        <v>0</v>
      </c>
      <c r="H143" s="55">
        <f>H142+H141</f>
        <v>0</v>
      </c>
    </row>
    <row r="144" spans="4:8" ht="34.5" customHeight="1" thickBot="1" x14ac:dyDescent="0.3">
      <c r="D144" s="61" t="s">
        <v>182</v>
      </c>
      <c r="E144" s="332" t="s">
        <v>183</v>
      </c>
      <c r="F144" s="333"/>
      <c r="G144" s="333"/>
      <c r="H144" s="334"/>
    </row>
    <row r="145" spans="4:8" ht="15.75" thickBot="1" x14ac:dyDescent="0.3">
      <c r="D145" s="335" t="s">
        <v>184</v>
      </c>
      <c r="E145" s="336"/>
      <c r="F145" s="336"/>
      <c r="G145" s="336"/>
      <c r="H145" s="337"/>
    </row>
    <row r="146" spans="4:8" ht="15.75" thickBot="1" x14ac:dyDescent="0.3">
      <c r="D146" s="46" t="s">
        <v>185</v>
      </c>
      <c r="E146" s="62" t="s">
        <v>186</v>
      </c>
      <c r="F146" s="52" t="s">
        <v>187</v>
      </c>
      <c r="G146" s="52" t="s">
        <v>188</v>
      </c>
      <c r="H146" s="52" t="s">
        <v>189</v>
      </c>
    </row>
    <row r="147" spans="4:8" ht="23.25" thickBot="1" x14ac:dyDescent="0.3">
      <c r="D147" s="19" t="s">
        <v>190</v>
      </c>
      <c r="E147" s="63" t="s">
        <v>191</v>
      </c>
      <c r="F147" s="49" t="s">
        <v>192</v>
      </c>
      <c r="G147" s="49" t="s">
        <v>193</v>
      </c>
      <c r="H147" s="49" t="s">
        <v>193</v>
      </c>
    </row>
    <row r="148" spans="4:8" ht="34.5" thickBot="1" x14ac:dyDescent="0.3">
      <c r="D148" s="19" t="s">
        <v>194</v>
      </c>
      <c r="E148" s="63" t="s">
        <v>195</v>
      </c>
      <c r="F148" s="64" t="s">
        <v>196</v>
      </c>
      <c r="G148" s="64" t="s">
        <v>196</v>
      </c>
      <c r="H148" s="64" t="s">
        <v>196</v>
      </c>
    </row>
    <row r="149" spans="4:8" ht="15.75" thickBot="1" x14ac:dyDescent="0.3">
      <c r="D149" s="392" t="s">
        <v>197</v>
      </c>
      <c r="E149" s="393"/>
      <c r="F149" s="393"/>
      <c r="G149" s="393"/>
      <c r="H149" s="394"/>
    </row>
    <row r="150" spans="4:8" ht="15.75" thickBot="1" x14ac:dyDescent="0.3">
      <c r="D150" s="367" t="s">
        <v>115</v>
      </c>
      <c r="E150" s="368"/>
      <c r="F150" s="368"/>
      <c r="G150" s="368"/>
      <c r="H150" s="369"/>
    </row>
    <row r="151" spans="4:8" x14ac:dyDescent="0.25">
      <c r="D151" s="350"/>
      <c r="E151" s="20">
        <v>2018</v>
      </c>
      <c r="F151" s="20">
        <v>2019</v>
      </c>
      <c r="G151" s="20">
        <v>2020</v>
      </c>
      <c r="H151" s="20">
        <v>2021</v>
      </c>
    </row>
    <row r="152" spans="4:8" ht="15.75" thickBot="1" x14ac:dyDescent="0.3">
      <c r="D152" s="351"/>
      <c r="E152" s="21" t="s">
        <v>42</v>
      </c>
      <c r="F152" s="21" t="s">
        <v>43</v>
      </c>
      <c r="G152" s="21" t="s">
        <v>43</v>
      </c>
      <c r="H152" s="21" t="s">
        <v>43</v>
      </c>
    </row>
    <row r="153" spans="4:8" ht="15.75" thickBot="1" x14ac:dyDescent="0.3">
      <c r="D153" s="18" t="s">
        <v>198</v>
      </c>
      <c r="E153" s="370" t="s">
        <v>199</v>
      </c>
      <c r="F153" s="371"/>
      <c r="G153" s="371"/>
      <c r="H153" s="372"/>
    </row>
    <row r="154" spans="4:8" ht="15.75" thickBot="1" x14ac:dyDescent="0.3">
      <c r="D154" s="19" t="s">
        <v>73</v>
      </c>
      <c r="E154" s="347" t="s">
        <v>200</v>
      </c>
      <c r="F154" s="348"/>
      <c r="G154" s="348"/>
      <c r="H154" s="349"/>
    </row>
    <row r="155" spans="4:8" ht="15.75" thickBot="1" x14ac:dyDescent="0.3">
      <c r="D155" s="19" t="s">
        <v>75</v>
      </c>
      <c r="E155" s="335" t="s">
        <v>165</v>
      </c>
      <c r="F155" s="336"/>
      <c r="G155" s="336"/>
      <c r="H155" s="337"/>
    </row>
    <row r="156" spans="4:8" x14ac:dyDescent="0.25">
      <c r="D156" s="350"/>
      <c r="E156" s="20">
        <v>2018</v>
      </c>
      <c r="F156" s="20">
        <v>2019</v>
      </c>
      <c r="G156" s="20">
        <v>2020</v>
      </c>
      <c r="H156" s="20">
        <v>2021</v>
      </c>
    </row>
    <row r="157" spans="4:8" ht="15.75" thickBot="1" x14ac:dyDescent="0.3">
      <c r="D157" s="351"/>
      <c r="E157" s="21" t="s">
        <v>42</v>
      </c>
      <c r="F157" s="21" t="s">
        <v>43</v>
      </c>
      <c r="G157" s="21" t="s">
        <v>43</v>
      </c>
      <c r="H157" s="21" t="s">
        <v>43</v>
      </c>
    </row>
    <row r="158" spans="4:8" ht="15.75" thickBot="1" x14ac:dyDescent="0.3">
      <c r="D158" s="19" t="s">
        <v>77</v>
      </c>
      <c r="E158" s="22">
        <v>373</v>
      </c>
      <c r="F158" s="22">
        <v>373</v>
      </c>
      <c r="G158" s="22">
        <v>373</v>
      </c>
      <c r="H158" s="22">
        <v>373</v>
      </c>
    </row>
    <row r="159" spans="4:8" ht="15.75" thickBot="1" x14ac:dyDescent="0.3">
      <c r="D159" s="19" t="s">
        <v>78</v>
      </c>
      <c r="E159" s="22">
        <f>512282383/1000</f>
        <v>512282.38299999997</v>
      </c>
      <c r="F159" s="22">
        <f>515272383/1000</f>
        <v>515272.38299999997</v>
      </c>
      <c r="G159" s="22">
        <f>555399383/1000</f>
        <v>555399.38300000003</v>
      </c>
      <c r="H159" s="22">
        <f>558799383/1000</f>
        <v>558799.38300000003</v>
      </c>
    </row>
    <row r="160" spans="4:8" ht="15.75" thickBot="1" x14ac:dyDescent="0.3">
      <c r="D160" s="19" t="s">
        <v>79</v>
      </c>
      <c r="E160" s="22">
        <f>E159/E158</f>
        <v>1373.4112144772116</v>
      </c>
      <c r="F160" s="22">
        <f>F159/F158</f>
        <v>1381.4273002680964</v>
      </c>
      <c r="G160" s="22">
        <f>G159/G158</f>
        <v>1489.0063887399465</v>
      </c>
      <c r="H160" s="22">
        <f>H159/H158</f>
        <v>1498.1216702412869</v>
      </c>
    </row>
    <row r="161" spans="4:8" ht="15.75" thickBot="1" x14ac:dyDescent="0.3">
      <c r="D161" s="19" t="s">
        <v>80</v>
      </c>
      <c r="E161" s="23"/>
      <c r="F161" s="13">
        <f>F158/E158-1</f>
        <v>0</v>
      </c>
      <c r="G161" s="13">
        <f t="shared" ref="G161:H163" si="6">G158/F158-1</f>
        <v>0</v>
      </c>
      <c r="H161" s="13">
        <f t="shared" si="6"/>
        <v>0</v>
      </c>
    </row>
    <row r="162" spans="4:8" ht="15.75" thickBot="1" x14ac:dyDescent="0.3">
      <c r="D162" s="19" t="s">
        <v>82</v>
      </c>
      <c r="E162" s="23"/>
      <c r="F162" s="13">
        <f>F159/E159-1</f>
        <v>5.8366246804939514E-3</v>
      </c>
      <c r="G162" s="13">
        <f t="shared" si="6"/>
        <v>7.7875316674986816E-2</v>
      </c>
      <c r="H162" s="13">
        <f t="shared" si="6"/>
        <v>6.1217208806296775E-3</v>
      </c>
    </row>
    <row r="163" spans="4:8" ht="15.75" thickBot="1" x14ac:dyDescent="0.3">
      <c r="D163" s="19" t="s">
        <v>83</v>
      </c>
      <c r="E163" s="23"/>
      <c r="F163" s="13">
        <f>F160/E160-1</f>
        <v>5.8366246804939514E-3</v>
      </c>
      <c r="G163" s="13">
        <f t="shared" si="6"/>
        <v>7.7875316674986816E-2</v>
      </c>
      <c r="H163" s="13">
        <f t="shared" si="6"/>
        <v>6.1217208806296775E-3</v>
      </c>
    </row>
    <row r="164" spans="4:8" x14ac:dyDescent="0.25">
      <c r="D164" s="350"/>
      <c r="E164" s="20">
        <v>2018</v>
      </c>
      <c r="F164" s="20">
        <v>2019</v>
      </c>
      <c r="G164" s="20">
        <v>2020</v>
      </c>
      <c r="H164" s="20">
        <v>2021</v>
      </c>
    </row>
    <row r="165" spans="4:8" ht="15.75" thickBot="1" x14ac:dyDescent="0.3">
      <c r="D165" s="351"/>
      <c r="E165" s="21" t="s">
        <v>42</v>
      </c>
      <c r="F165" s="21" t="s">
        <v>43</v>
      </c>
      <c r="G165" s="21" t="s">
        <v>43</v>
      </c>
      <c r="H165" s="21" t="s">
        <v>43</v>
      </c>
    </row>
    <row r="166" spans="4:8" ht="15.75" thickBot="1" x14ac:dyDescent="0.3">
      <c r="D166" s="338" t="s">
        <v>201</v>
      </c>
      <c r="E166" s="339"/>
      <c r="F166" s="339"/>
      <c r="G166" s="339"/>
      <c r="H166" s="340"/>
    </row>
    <row r="167" spans="4:8" x14ac:dyDescent="0.25">
      <c r="D167" s="350"/>
      <c r="E167" s="20">
        <v>2018</v>
      </c>
      <c r="F167" s="20">
        <v>2019</v>
      </c>
      <c r="G167" s="20">
        <v>2020</v>
      </c>
      <c r="H167" s="20">
        <v>2021</v>
      </c>
    </row>
    <row r="168" spans="4:8" ht="15.75" thickBot="1" x14ac:dyDescent="0.3">
      <c r="D168" s="351"/>
      <c r="E168" s="21" t="s">
        <v>42</v>
      </c>
      <c r="F168" s="21" t="s">
        <v>43</v>
      </c>
      <c r="G168" s="21" t="s">
        <v>43</v>
      </c>
      <c r="H168" s="21" t="s">
        <v>43</v>
      </c>
    </row>
    <row r="169" spans="4:8" ht="15.75" thickBot="1" x14ac:dyDescent="0.3">
      <c r="D169" s="24" t="s">
        <v>85</v>
      </c>
      <c r="E169" s="54">
        <f>345843516/1000</f>
        <v>345843.516</v>
      </c>
      <c r="F169" s="54">
        <f>345843516/1000</f>
        <v>345843.516</v>
      </c>
      <c r="G169" s="54">
        <f>345843516/1000</f>
        <v>345843.516</v>
      </c>
      <c r="H169" s="54">
        <f>345843516/1000</f>
        <v>345843.516</v>
      </c>
    </row>
    <row r="170" spans="4:8" ht="15.75" thickBot="1" x14ac:dyDescent="0.3">
      <c r="D170" s="24" t="s">
        <v>86</v>
      </c>
      <c r="E170" s="54">
        <f>57755867/1000</f>
        <v>57755.866999999998</v>
      </c>
      <c r="F170" s="54">
        <f>57755867/1000</f>
        <v>57755.866999999998</v>
      </c>
      <c r="G170" s="54">
        <f>57755867/1000</f>
        <v>57755.866999999998</v>
      </c>
      <c r="H170" s="54">
        <f>57755867/1000</f>
        <v>57755.866999999998</v>
      </c>
    </row>
    <row r="171" spans="4:8" ht="15.75" thickBot="1" x14ac:dyDescent="0.3">
      <c r="D171" s="24" t="s">
        <v>87</v>
      </c>
      <c r="E171" s="25">
        <f>108683000/1000</f>
        <v>108683</v>
      </c>
      <c r="F171" s="25">
        <f>111673000/1000</f>
        <v>111673</v>
      </c>
      <c r="G171" s="25">
        <f>151800000/1000</f>
        <v>151800</v>
      </c>
      <c r="H171" s="25">
        <f>155200000/1000</f>
        <v>155200</v>
      </c>
    </row>
    <row r="172" spans="4:8" ht="15.75" thickBot="1" x14ac:dyDescent="0.3">
      <c r="D172" s="24" t="s">
        <v>88</v>
      </c>
      <c r="E172" s="26">
        <v>0</v>
      </c>
      <c r="F172" s="26">
        <v>0</v>
      </c>
      <c r="G172" s="26">
        <v>0</v>
      </c>
      <c r="H172" s="26">
        <v>0</v>
      </c>
    </row>
    <row r="173" spans="4:8" ht="15.75" thickBot="1" x14ac:dyDescent="0.3">
      <c r="D173" s="24" t="s">
        <v>89</v>
      </c>
      <c r="E173" s="26">
        <v>0</v>
      </c>
      <c r="F173" s="26">
        <v>0</v>
      </c>
      <c r="G173" s="26">
        <v>0</v>
      </c>
      <c r="H173" s="26">
        <v>0</v>
      </c>
    </row>
    <row r="174" spans="4:8" ht="15.75" thickBot="1" x14ac:dyDescent="0.3">
      <c r="D174" s="24" t="s">
        <v>90</v>
      </c>
      <c r="E174" s="26">
        <v>0</v>
      </c>
      <c r="F174" s="26">
        <v>0</v>
      </c>
      <c r="G174" s="26">
        <v>0</v>
      </c>
      <c r="H174" s="26">
        <v>0</v>
      </c>
    </row>
    <row r="175" spans="4:8" ht="15.75" thickBot="1" x14ac:dyDescent="0.3">
      <c r="D175" s="24" t="s">
        <v>91</v>
      </c>
      <c r="E175" s="26">
        <v>0</v>
      </c>
      <c r="F175" s="26">
        <v>0</v>
      </c>
      <c r="G175" s="26">
        <v>0</v>
      </c>
      <c r="H175" s="26">
        <v>0</v>
      </c>
    </row>
    <row r="176" spans="4:8" ht="24.75" thickBot="1" x14ac:dyDescent="0.3">
      <c r="D176" s="31" t="s">
        <v>121</v>
      </c>
      <c r="E176" s="32">
        <f>E175+E174+E173+E172+E171+E170+E169</f>
        <v>512282.38300000003</v>
      </c>
      <c r="F176" s="32">
        <f>F175+F174+F173+F172+F171+F170+F169</f>
        <v>515272.38300000003</v>
      </c>
      <c r="G176" s="32">
        <f>G175+G174+G173+G172+G171+G170+G169</f>
        <v>555399.38300000003</v>
      </c>
      <c r="H176" s="32">
        <f>H175+H174+H173+H172+H171+H170+H169</f>
        <v>558799.38300000003</v>
      </c>
    </row>
    <row r="177" spans="4:8" ht="15.75" thickBot="1" x14ac:dyDescent="0.3">
      <c r="D177" s="65" t="s">
        <v>93</v>
      </c>
      <c r="E177" s="29" t="str">
        <f>IF(E176-E159=0,0,"Error")</f>
        <v>Error</v>
      </c>
      <c r="F177" s="29" t="str">
        <f>IF(F176-F159=0,0,"Error")</f>
        <v>Error</v>
      </c>
      <c r="G177" s="29">
        <f>IF(G176-G159=0,0,"Error")</f>
        <v>0</v>
      </c>
      <c r="H177" s="29">
        <f>IF(H176-H159=0,0,"Error")</f>
        <v>0</v>
      </c>
    </row>
    <row r="178" spans="4:8" ht="15.75" thickBot="1" x14ac:dyDescent="0.3">
      <c r="D178" s="389" t="s">
        <v>105</v>
      </c>
      <c r="E178" s="390"/>
      <c r="F178" s="390"/>
      <c r="G178" s="390"/>
      <c r="H178" s="391"/>
    </row>
    <row r="179" spans="4:8" ht="15.75" thickBot="1" x14ac:dyDescent="0.3">
      <c r="D179" s="389" t="s">
        <v>171</v>
      </c>
      <c r="E179" s="390"/>
      <c r="F179" s="390"/>
      <c r="G179" s="390"/>
      <c r="H179" s="391"/>
    </row>
    <row r="180" spans="4:8" ht="27.75" customHeight="1" thickBot="1" x14ac:dyDescent="0.3">
      <c r="D180" s="30" t="s">
        <v>202</v>
      </c>
      <c r="E180" s="386" t="s">
        <v>203</v>
      </c>
      <c r="F180" s="387"/>
      <c r="G180" s="387"/>
      <c r="H180" s="388"/>
    </row>
    <row r="181" spans="4:8" ht="15.75" thickBot="1" x14ac:dyDescent="0.3">
      <c r="D181" s="18" t="s">
        <v>198</v>
      </c>
      <c r="E181" s="370" t="s">
        <v>199</v>
      </c>
      <c r="F181" s="371"/>
      <c r="G181" s="371"/>
      <c r="H181" s="372"/>
    </row>
    <row r="182" spans="4:8" ht="15.75" thickBot="1" x14ac:dyDescent="0.3">
      <c r="D182" s="19" t="s">
        <v>73</v>
      </c>
      <c r="E182" s="335" t="s">
        <v>200</v>
      </c>
      <c r="F182" s="336"/>
      <c r="G182" s="336"/>
      <c r="H182" s="337"/>
    </row>
    <row r="183" spans="4:8" ht="15.75" thickBot="1" x14ac:dyDescent="0.3">
      <c r="D183" s="19" t="s">
        <v>75</v>
      </c>
      <c r="E183" s="335"/>
      <c r="F183" s="336"/>
      <c r="G183" s="336"/>
      <c r="H183" s="337"/>
    </row>
    <row r="184" spans="4:8" x14ac:dyDescent="0.25">
      <c r="D184" s="350"/>
      <c r="E184" s="20">
        <v>2018</v>
      </c>
      <c r="F184" s="20">
        <v>2019</v>
      </c>
      <c r="G184" s="20">
        <v>2020</v>
      </c>
      <c r="H184" s="20">
        <v>2021</v>
      </c>
    </row>
    <row r="185" spans="4:8" ht="15.75" thickBot="1" x14ac:dyDescent="0.3">
      <c r="D185" s="351"/>
      <c r="E185" s="21" t="s">
        <v>42</v>
      </c>
      <c r="F185" s="21" t="s">
        <v>43</v>
      </c>
      <c r="G185" s="21" t="s">
        <v>43</v>
      </c>
      <c r="H185" s="21" t="s">
        <v>43</v>
      </c>
    </row>
    <row r="186" spans="4:8" ht="15.75" thickBot="1" x14ac:dyDescent="0.3">
      <c r="D186" s="19" t="s">
        <v>77</v>
      </c>
      <c r="E186" s="22"/>
      <c r="F186" s="22"/>
      <c r="G186" s="22"/>
      <c r="H186" s="22"/>
    </row>
    <row r="187" spans="4:8" ht="15.75" thickBot="1" x14ac:dyDescent="0.3">
      <c r="D187" s="19" t="s">
        <v>78</v>
      </c>
      <c r="E187" s="22">
        <f>30000000/1000</f>
        <v>30000</v>
      </c>
      <c r="F187" s="22">
        <v>0</v>
      </c>
      <c r="G187" s="22">
        <v>0</v>
      </c>
      <c r="H187" s="22">
        <v>0</v>
      </c>
    </row>
    <row r="188" spans="4:8" ht="15.75" thickBot="1" x14ac:dyDescent="0.3">
      <c r="D188" s="19" t="s">
        <v>79</v>
      </c>
      <c r="E188" s="22" t="e">
        <f>E187/E186</f>
        <v>#DIV/0!</v>
      </c>
      <c r="F188" s="22" t="e">
        <f>F187/F186</f>
        <v>#DIV/0!</v>
      </c>
      <c r="G188" s="22" t="e">
        <f>G187/G186</f>
        <v>#DIV/0!</v>
      </c>
      <c r="H188" s="22" t="e">
        <f>H187/H186</f>
        <v>#DIV/0!</v>
      </c>
    </row>
    <row r="189" spans="4:8" ht="15.75" thickBot="1" x14ac:dyDescent="0.3">
      <c r="D189" s="19" t="s">
        <v>80</v>
      </c>
      <c r="E189" s="23" t="s">
        <v>81</v>
      </c>
      <c r="F189" s="53" t="e">
        <f t="shared" ref="F189:H191" si="7">F186/E186-1</f>
        <v>#DIV/0!</v>
      </c>
      <c r="G189" s="53" t="e">
        <f t="shared" si="7"/>
        <v>#DIV/0!</v>
      </c>
      <c r="H189" s="53" t="e">
        <f t="shared" si="7"/>
        <v>#DIV/0!</v>
      </c>
    </row>
    <row r="190" spans="4:8" ht="15.75" thickBot="1" x14ac:dyDescent="0.3">
      <c r="D190" s="19" t="s">
        <v>82</v>
      </c>
      <c r="E190" s="23" t="s">
        <v>81</v>
      </c>
      <c r="F190" s="53">
        <f t="shared" si="7"/>
        <v>-1</v>
      </c>
      <c r="G190" s="53" t="e">
        <f t="shared" si="7"/>
        <v>#DIV/0!</v>
      </c>
      <c r="H190" s="53" t="e">
        <f t="shared" si="7"/>
        <v>#DIV/0!</v>
      </c>
    </row>
    <row r="191" spans="4:8" ht="15.75" thickBot="1" x14ac:dyDescent="0.3">
      <c r="D191" s="19" t="s">
        <v>83</v>
      </c>
      <c r="E191" s="23" t="s">
        <v>81</v>
      </c>
      <c r="F191" s="53" t="e">
        <f t="shared" si="7"/>
        <v>#DIV/0!</v>
      </c>
      <c r="G191" s="53" t="e">
        <f t="shared" si="7"/>
        <v>#DIV/0!</v>
      </c>
      <c r="H191" s="53" t="e">
        <f t="shared" si="7"/>
        <v>#DIV/0!</v>
      </c>
    </row>
    <row r="192" spans="4:8" ht="15.75" thickBot="1" x14ac:dyDescent="0.3">
      <c r="D192" s="338" t="s">
        <v>204</v>
      </c>
      <c r="E192" s="339"/>
      <c r="F192" s="339"/>
      <c r="G192" s="339"/>
      <c r="H192" s="340"/>
    </row>
    <row r="193" spans="4:8" x14ac:dyDescent="0.25">
      <c r="D193" s="350"/>
      <c r="E193" s="20">
        <v>2018</v>
      </c>
      <c r="F193" s="20">
        <v>2019</v>
      </c>
      <c r="G193" s="20">
        <v>2020</v>
      </c>
      <c r="H193" s="20">
        <v>2021</v>
      </c>
    </row>
    <row r="194" spans="4:8" ht="15.75" thickBot="1" x14ac:dyDescent="0.3">
      <c r="D194" s="351"/>
      <c r="E194" s="21" t="s">
        <v>42</v>
      </c>
      <c r="F194" s="21" t="s">
        <v>43</v>
      </c>
      <c r="G194" s="21" t="s">
        <v>43</v>
      </c>
      <c r="H194" s="21" t="s">
        <v>43</v>
      </c>
    </row>
    <row r="195" spans="4:8" ht="15.75" thickBot="1" x14ac:dyDescent="0.3">
      <c r="D195" s="59" t="s">
        <v>170</v>
      </c>
      <c r="E195" s="54"/>
      <c r="F195" s="54"/>
      <c r="G195" s="54"/>
      <c r="H195" s="54"/>
    </row>
    <row r="196" spans="4:8" ht="15.75" thickBot="1" x14ac:dyDescent="0.3">
      <c r="D196" s="59" t="s">
        <v>113</v>
      </c>
      <c r="E196" s="55">
        <f>30000000/1000</f>
        <v>30000</v>
      </c>
      <c r="F196" s="54">
        <v>0</v>
      </c>
      <c r="G196" s="54">
        <v>0</v>
      </c>
      <c r="H196" s="54">
        <v>0</v>
      </c>
    </row>
    <row r="197" spans="4:8" ht="15.75" thickBot="1" x14ac:dyDescent="0.3">
      <c r="D197" s="60" t="s">
        <v>205</v>
      </c>
      <c r="E197" s="55">
        <f>E196+E195</f>
        <v>30000</v>
      </c>
      <c r="F197" s="55">
        <f>F196+F195</f>
        <v>0</v>
      </c>
      <c r="G197" s="55">
        <f>G196+G195</f>
        <v>0</v>
      </c>
      <c r="H197" s="55">
        <f>H196+H195</f>
        <v>0</v>
      </c>
    </row>
    <row r="198" spans="4:8" ht="15.75" thickBot="1" x14ac:dyDescent="0.3">
      <c r="D198" s="66"/>
      <c r="E198" s="67"/>
      <c r="F198" s="67"/>
      <c r="G198" s="67"/>
      <c r="H198" s="55"/>
    </row>
    <row r="199" spans="4:8" ht="15.75" thickBot="1" x14ac:dyDescent="0.3">
      <c r="D199" s="30" t="s">
        <v>206</v>
      </c>
      <c r="E199" s="386" t="s">
        <v>207</v>
      </c>
      <c r="F199" s="387"/>
      <c r="G199" s="387"/>
      <c r="H199" s="388"/>
    </row>
    <row r="200" spans="4:8" ht="15.75" thickBot="1" x14ac:dyDescent="0.3">
      <c r="D200" s="18" t="s">
        <v>208</v>
      </c>
      <c r="E200" s="370" t="s">
        <v>199</v>
      </c>
      <c r="F200" s="371"/>
      <c r="G200" s="371"/>
      <c r="H200" s="372"/>
    </row>
    <row r="201" spans="4:8" ht="15.75" thickBot="1" x14ac:dyDescent="0.3">
      <c r="D201" s="19" t="s">
        <v>73</v>
      </c>
      <c r="E201" s="335" t="s">
        <v>200</v>
      </c>
      <c r="F201" s="336"/>
      <c r="G201" s="336"/>
      <c r="H201" s="337"/>
    </row>
    <row r="202" spans="4:8" ht="15.75" thickBot="1" x14ac:dyDescent="0.3">
      <c r="D202" s="19" t="s">
        <v>75</v>
      </c>
      <c r="E202" s="335"/>
      <c r="F202" s="336"/>
      <c r="G202" s="336"/>
      <c r="H202" s="337"/>
    </row>
    <row r="203" spans="4:8" x14ac:dyDescent="0.25">
      <c r="D203" s="350"/>
      <c r="E203" s="20">
        <v>2018</v>
      </c>
      <c r="F203" s="20">
        <v>2019</v>
      </c>
      <c r="G203" s="20">
        <v>2020</v>
      </c>
      <c r="H203" s="20">
        <v>2021</v>
      </c>
    </row>
    <row r="204" spans="4:8" ht="15.75" thickBot="1" x14ac:dyDescent="0.3">
      <c r="D204" s="351"/>
      <c r="E204" s="21" t="s">
        <v>42</v>
      </c>
      <c r="F204" s="21" t="s">
        <v>43</v>
      </c>
      <c r="G204" s="21" t="s">
        <v>43</v>
      </c>
      <c r="H204" s="21" t="s">
        <v>43</v>
      </c>
    </row>
    <row r="205" spans="4:8" ht="15.75" thickBot="1" x14ac:dyDescent="0.3">
      <c r="D205" s="19" t="s">
        <v>77</v>
      </c>
      <c r="E205" s="22"/>
      <c r="F205" s="22"/>
      <c r="G205" s="22"/>
      <c r="H205" s="22"/>
    </row>
    <row r="206" spans="4:8" ht="15.75" thickBot="1" x14ac:dyDescent="0.3">
      <c r="D206" s="19" t="s">
        <v>78</v>
      </c>
      <c r="E206" s="22">
        <f>259280000/1000</f>
        <v>259280</v>
      </c>
      <c r="F206" s="22">
        <f>70790000/1000</f>
        <v>70790</v>
      </c>
      <c r="G206" s="22">
        <v>0</v>
      </c>
      <c r="H206" s="22">
        <v>0</v>
      </c>
    </row>
    <row r="207" spans="4:8" ht="15.75" thickBot="1" x14ac:dyDescent="0.3">
      <c r="D207" s="19" t="s">
        <v>79</v>
      </c>
      <c r="E207" s="22" t="e">
        <f>E206/E205</f>
        <v>#DIV/0!</v>
      </c>
      <c r="F207" s="22" t="e">
        <f>F206/F205</f>
        <v>#DIV/0!</v>
      </c>
      <c r="G207" s="22" t="e">
        <f>G206/G205</f>
        <v>#DIV/0!</v>
      </c>
      <c r="H207" s="22" t="e">
        <f>H206/H205</f>
        <v>#DIV/0!</v>
      </c>
    </row>
    <row r="208" spans="4:8" ht="15.75" thickBot="1" x14ac:dyDescent="0.3">
      <c r="D208" s="19" t="s">
        <v>80</v>
      </c>
      <c r="E208" s="23" t="s">
        <v>81</v>
      </c>
      <c r="F208" s="53" t="e">
        <f t="shared" ref="F208:H210" si="8">F205/E205-1</f>
        <v>#DIV/0!</v>
      </c>
      <c r="G208" s="53" t="e">
        <f t="shared" si="8"/>
        <v>#DIV/0!</v>
      </c>
      <c r="H208" s="53" t="e">
        <f t="shared" si="8"/>
        <v>#DIV/0!</v>
      </c>
    </row>
    <row r="209" spans="4:8" ht="15.75" thickBot="1" x14ac:dyDescent="0.3">
      <c r="D209" s="19" t="s">
        <v>82</v>
      </c>
      <c r="E209" s="23" t="s">
        <v>81</v>
      </c>
      <c r="F209" s="53">
        <f t="shared" si="8"/>
        <v>-0.72697469916692381</v>
      </c>
      <c r="G209" s="53">
        <f t="shared" si="8"/>
        <v>-1</v>
      </c>
      <c r="H209" s="53" t="e">
        <f t="shared" si="8"/>
        <v>#DIV/0!</v>
      </c>
    </row>
    <row r="210" spans="4:8" ht="15.75" thickBot="1" x14ac:dyDescent="0.3">
      <c r="D210" s="19" t="s">
        <v>83</v>
      </c>
      <c r="E210" s="23" t="s">
        <v>81</v>
      </c>
      <c r="F210" s="53" t="e">
        <f t="shared" si="8"/>
        <v>#DIV/0!</v>
      </c>
      <c r="G210" s="53" t="e">
        <f t="shared" si="8"/>
        <v>#DIV/0!</v>
      </c>
      <c r="H210" s="53" t="e">
        <f t="shared" si="8"/>
        <v>#DIV/0!</v>
      </c>
    </row>
    <row r="211" spans="4:8" ht="15.75" thickBot="1" x14ac:dyDescent="0.3">
      <c r="D211" s="338" t="s">
        <v>204</v>
      </c>
      <c r="E211" s="339"/>
      <c r="F211" s="339"/>
      <c r="G211" s="339"/>
      <c r="H211" s="340"/>
    </row>
    <row r="212" spans="4:8" x14ac:dyDescent="0.25">
      <c r="D212" s="350"/>
      <c r="E212" s="20">
        <v>2018</v>
      </c>
      <c r="F212" s="20">
        <v>2019</v>
      </c>
      <c r="G212" s="20">
        <v>2020</v>
      </c>
      <c r="H212" s="20">
        <v>2021</v>
      </c>
    </row>
    <row r="213" spans="4:8" ht="15.75" thickBot="1" x14ac:dyDescent="0.3">
      <c r="D213" s="351"/>
      <c r="E213" s="21" t="s">
        <v>42</v>
      </c>
      <c r="F213" s="21" t="s">
        <v>43</v>
      </c>
      <c r="G213" s="21" t="s">
        <v>43</v>
      </c>
      <c r="H213" s="21" t="s">
        <v>43</v>
      </c>
    </row>
    <row r="214" spans="4:8" ht="15.75" thickBot="1" x14ac:dyDescent="0.3">
      <c r="D214" s="59" t="s">
        <v>170</v>
      </c>
      <c r="E214" s="54"/>
      <c r="F214" s="54"/>
      <c r="G214" s="54"/>
      <c r="H214" s="54"/>
    </row>
    <row r="215" spans="4:8" ht="15.75" thickBot="1" x14ac:dyDescent="0.3">
      <c r="D215" s="59" t="s">
        <v>113</v>
      </c>
      <c r="E215" s="55">
        <f>259280000/1000</f>
        <v>259280</v>
      </c>
      <c r="F215" s="54">
        <f>70790000/1000</f>
        <v>70790</v>
      </c>
      <c r="G215" s="54">
        <v>0</v>
      </c>
      <c r="H215" s="54">
        <v>0</v>
      </c>
    </row>
    <row r="216" spans="4:8" ht="15.75" thickBot="1" x14ac:dyDescent="0.3">
      <c r="D216" s="60" t="s">
        <v>205</v>
      </c>
      <c r="E216" s="55">
        <f>E215+E214</f>
        <v>259280</v>
      </c>
      <c r="F216" s="55">
        <f>F215+F214</f>
        <v>70790</v>
      </c>
      <c r="G216" s="55">
        <f>G215+G214</f>
        <v>0</v>
      </c>
      <c r="H216" s="55">
        <f>H215+H214</f>
        <v>0</v>
      </c>
    </row>
    <row r="217" spans="4:8" ht="35.25" customHeight="1" thickBot="1" x14ac:dyDescent="0.3">
      <c r="D217" s="68" t="s">
        <v>209</v>
      </c>
      <c r="E217" s="333" t="s">
        <v>210</v>
      </c>
      <c r="F217" s="333"/>
      <c r="G217" s="333"/>
      <c r="H217" s="334"/>
    </row>
    <row r="218" spans="4:8" ht="15.75" thickBot="1" x14ac:dyDescent="0.3">
      <c r="D218" s="395" t="s">
        <v>211</v>
      </c>
      <c r="E218" s="336"/>
      <c r="F218" s="336"/>
      <c r="G218" s="336"/>
      <c r="H218" s="337"/>
    </row>
    <row r="219" spans="4:8" ht="34.5" thickBot="1" x14ac:dyDescent="0.3">
      <c r="D219" s="46" t="s">
        <v>212</v>
      </c>
      <c r="E219" s="63" t="s">
        <v>213</v>
      </c>
      <c r="F219" s="49" t="s">
        <v>214</v>
      </c>
      <c r="G219" s="49" t="s">
        <v>214</v>
      </c>
      <c r="H219" s="49" t="s">
        <v>214</v>
      </c>
    </row>
    <row r="220" spans="4:8" ht="15.75" thickBot="1" x14ac:dyDescent="0.3">
      <c r="D220" s="19" t="s">
        <v>215</v>
      </c>
      <c r="E220" s="63" t="s">
        <v>216</v>
      </c>
      <c r="F220" s="64" t="s">
        <v>217</v>
      </c>
      <c r="G220" s="64" t="s">
        <v>218</v>
      </c>
      <c r="H220" s="64" t="s">
        <v>218</v>
      </c>
    </row>
    <row r="221" spans="4:8" ht="23.25" thickBot="1" x14ac:dyDescent="0.3">
      <c r="D221" s="50" t="s">
        <v>150</v>
      </c>
      <c r="E221" s="49" t="s">
        <v>151</v>
      </c>
      <c r="F221" s="49" t="s">
        <v>152</v>
      </c>
      <c r="G221" s="49" t="s">
        <v>152</v>
      </c>
      <c r="H221" s="49" t="s">
        <v>152</v>
      </c>
    </row>
    <row r="222" spans="4:8" ht="15.75" thickBot="1" x14ac:dyDescent="0.3">
      <c r="D222" s="392" t="s">
        <v>219</v>
      </c>
      <c r="E222" s="393"/>
      <c r="F222" s="393"/>
      <c r="G222" s="393"/>
      <c r="H222" s="394"/>
    </row>
    <row r="223" spans="4:8" ht="15.75" thickBot="1" x14ac:dyDescent="0.3">
      <c r="D223" s="18" t="s">
        <v>220</v>
      </c>
      <c r="E223" s="370" t="s">
        <v>221</v>
      </c>
      <c r="F223" s="371"/>
      <c r="G223" s="371"/>
      <c r="H223" s="372"/>
    </row>
    <row r="224" spans="4:8" ht="15.75" thickBot="1" x14ac:dyDescent="0.3">
      <c r="D224" s="19" t="s">
        <v>73</v>
      </c>
      <c r="E224" s="335" t="s">
        <v>222</v>
      </c>
      <c r="F224" s="336"/>
      <c r="G224" s="336"/>
      <c r="H224" s="337"/>
    </row>
    <row r="225" spans="4:8" ht="15.75" thickBot="1" x14ac:dyDescent="0.3">
      <c r="D225" s="19" t="s">
        <v>75</v>
      </c>
      <c r="E225" s="335" t="s">
        <v>223</v>
      </c>
      <c r="F225" s="336"/>
      <c r="G225" s="336"/>
      <c r="H225" s="337"/>
    </row>
    <row r="226" spans="4:8" x14ac:dyDescent="0.25">
      <c r="D226" s="350"/>
      <c r="E226" s="20">
        <v>2018</v>
      </c>
      <c r="F226" s="20">
        <v>2019</v>
      </c>
      <c r="G226" s="20">
        <v>2020</v>
      </c>
      <c r="H226" s="20">
        <v>2021</v>
      </c>
    </row>
    <row r="227" spans="4:8" ht="15.75" thickBot="1" x14ac:dyDescent="0.3">
      <c r="D227" s="351"/>
      <c r="E227" s="21" t="s">
        <v>42</v>
      </c>
      <c r="F227" s="21" t="s">
        <v>43</v>
      </c>
      <c r="G227" s="21" t="s">
        <v>43</v>
      </c>
      <c r="H227" s="21" t="s">
        <v>43</v>
      </c>
    </row>
    <row r="228" spans="4:8" ht="15.75" thickBot="1" x14ac:dyDescent="0.3">
      <c r="D228" s="19" t="s">
        <v>77</v>
      </c>
      <c r="E228" s="22">
        <v>62088</v>
      </c>
      <c r="F228" s="22">
        <v>65100</v>
      </c>
      <c r="G228" s="22">
        <v>67150</v>
      </c>
      <c r="H228" s="22">
        <v>67200</v>
      </c>
    </row>
    <row r="229" spans="4:8" ht="15.75" thickBot="1" x14ac:dyDescent="0.3">
      <c r="D229" s="19" t="s">
        <v>78</v>
      </c>
      <c r="E229" s="22">
        <f>906421779/1000</f>
        <v>906421.77899999998</v>
      </c>
      <c r="F229" s="22">
        <f>917120779/1000</f>
        <v>917120.77899999998</v>
      </c>
      <c r="G229" s="22">
        <f>931322779/1000</f>
        <v>931322.77899999998</v>
      </c>
      <c r="H229" s="22">
        <f>931322779/1000</f>
        <v>931322.77899999998</v>
      </c>
    </row>
    <row r="230" spans="4:8" ht="15.75" thickBot="1" x14ac:dyDescent="0.3">
      <c r="D230" s="19" t="s">
        <v>79</v>
      </c>
      <c r="E230" s="22">
        <f>E229/E228</f>
        <v>14.598984972941631</v>
      </c>
      <c r="F230" s="22">
        <f>F229/F228</f>
        <v>14.087876789554532</v>
      </c>
      <c r="G230" s="22">
        <f>G229/G228</f>
        <v>13.869289337304542</v>
      </c>
      <c r="H230" s="22">
        <f>H229/H228</f>
        <v>13.858969925595238</v>
      </c>
    </row>
    <row r="231" spans="4:8" ht="15.75" thickBot="1" x14ac:dyDescent="0.3">
      <c r="D231" s="19" t="s">
        <v>80</v>
      </c>
      <c r="E231" s="23"/>
      <c r="F231" s="13">
        <f>F228/E228-1</f>
        <v>4.8511789717819775E-2</v>
      </c>
      <c r="G231" s="13">
        <f t="shared" ref="G231:H233" si="9">G228/F228-1</f>
        <v>3.149001536098317E-2</v>
      </c>
      <c r="H231" s="13">
        <f t="shared" si="9"/>
        <v>7.446016381236209E-4</v>
      </c>
    </row>
    <row r="232" spans="4:8" ht="15.75" thickBot="1" x14ac:dyDescent="0.3">
      <c r="D232" s="19" t="s">
        <v>82</v>
      </c>
      <c r="E232" s="23"/>
      <c r="F232" s="13">
        <f>F229/E229-1</f>
        <v>1.1803555748410632E-2</v>
      </c>
      <c r="G232" s="13">
        <f t="shared" si="9"/>
        <v>1.5485419505471665E-2</v>
      </c>
      <c r="H232" s="13">
        <f t="shared" si="9"/>
        <v>0</v>
      </c>
    </row>
    <row r="233" spans="4:8" ht="15.75" thickBot="1" x14ac:dyDescent="0.3">
      <c r="D233" s="19" t="s">
        <v>83</v>
      </c>
      <c r="E233" s="23"/>
      <c r="F233" s="13">
        <f>F230/E230-1</f>
        <v>-3.5009843789442163E-2</v>
      </c>
      <c r="G233" s="13">
        <f t="shared" si="9"/>
        <v>-1.5515996875559157E-2</v>
      </c>
      <c r="H233" s="13">
        <f t="shared" si="9"/>
        <v>-7.4404761904767192E-4</v>
      </c>
    </row>
    <row r="234" spans="4:8" ht="15.75" thickBot="1" x14ac:dyDescent="0.3">
      <c r="D234" s="338" t="s">
        <v>224</v>
      </c>
      <c r="E234" s="339"/>
      <c r="F234" s="339"/>
      <c r="G234" s="339"/>
      <c r="H234" s="340"/>
    </row>
    <row r="235" spans="4:8" x14ac:dyDescent="0.25">
      <c r="D235" s="350"/>
      <c r="E235" s="20">
        <v>2018</v>
      </c>
      <c r="F235" s="20">
        <v>2019</v>
      </c>
      <c r="G235" s="20">
        <v>2020</v>
      </c>
      <c r="H235" s="20">
        <v>2021</v>
      </c>
    </row>
    <row r="236" spans="4:8" ht="15.75" thickBot="1" x14ac:dyDescent="0.3">
      <c r="D236" s="351"/>
      <c r="E236" s="21" t="s">
        <v>42</v>
      </c>
      <c r="F236" s="21" t="s">
        <v>43</v>
      </c>
      <c r="G236" s="21" t="s">
        <v>43</v>
      </c>
      <c r="H236" s="21" t="s">
        <v>43</v>
      </c>
    </row>
    <row r="237" spans="4:8" ht="15.75" thickBot="1" x14ac:dyDescent="0.3">
      <c r="D237" s="24" t="s">
        <v>85</v>
      </c>
      <c r="E237" s="54">
        <f>749684472/1000</f>
        <v>749684.47199999995</v>
      </c>
      <c r="F237" s="54">
        <f>749684472/1000</f>
        <v>749684.47199999995</v>
      </c>
      <c r="G237" s="54">
        <f>749684472/1000</f>
        <v>749684.47199999995</v>
      </c>
      <c r="H237" s="54">
        <f>749684472/1000</f>
        <v>749684.47199999995</v>
      </c>
    </row>
    <row r="238" spans="4:8" ht="15.75" thickBot="1" x14ac:dyDescent="0.3">
      <c r="D238" s="24" t="s">
        <v>86</v>
      </c>
      <c r="E238" s="54">
        <f>125197307/1000</f>
        <v>125197.307</v>
      </c>
      <c r="F238" s="54">
        <f>125197307/1000</f>
        <v>125197.307</v>
      </c>
      <c r="G238" s="54">
        <f>125197307/1000</f>
        <v>125197.307</v>
      </c>
      <c r="H238" s="54">
        <f>125197307/1000</f>
        <v>125197.307</v>
      </c>
    </row>
    <row r="239" spans="4:8" ht="15.75" thickBot="1" x14ac:dyDescent="0.3">
      <c r="D239" s="24" t="s">
        <v>87</v>
      </c>
      <c r="E239" s="55">
        <f>31540000/1000</f>
        <v>31540</v>
      </c>
      <c r="F239" s="54">
        <f>42239000/1000</f>
        <v>42239</v>
      </c>
      <c r="G239" s="54">
        <f>56441000/1000</f>
        <v>56441</v>
      </c>
      <c r="H239" s="54">
        <f>56441000/1000</f>
        <v>56441</v>
      </c>
    </row>
    <row r="240" spans="4:8" ht="15.75" thickBot="1" x14ac:dyDescent="0.3">
      <c r="D240" s="24" t="s">
        <v>88</v>
      </c>
      <c r="E240" s="26">
        <v>0</v>
      </c>
      <c r="F240" s="25">
        <v>0</v>
      </c>
      <c r="G240" s="25">
        <v>0</v>
      </c>
      <c r="H240" s="25">
        <v>0</v>
      </c>
    </row>
    <row r="241" spans="4:8" ht="15.75" thickBot="1" x14ac:dyDescent="0.3">
      <c r="D241" s="24" t="s">
        <v>89</v>
      </c>
      <c r="E241" s="26">
        <v>0</v>
      </c>
      <c r="F241" s="25">
        <v>0</v>
      </c>
      <c r="G241" s="25">
        <v>0</v>
      </c>
      <c r="H241" s="25">
        <v>0</v>
      </c>
    </row>
    <row r="242" spans="4:8" ht="15.75" thickBot="1" x14ac:dyDescent="0.3">
      <c r="D242" s="24" t="s">
        <v>90</v>
      </c>
      <c r="E242" s="26">
        <v>0</v>
      </c>
      <c r="F242" s="25">
        <v>0</v>
      </c>
      <c r="G242" s="25">
        <v>0</v>
      </c>
      <c r="H242" s="25">
        <v>0</v>
      </c>
    </row>
    <row r="243" spans="4:8" ht="15.75" thickBot="1" x14ac:dyDescent="0.3">
      <c r="D243" s="69" t="s">
        <v>91</v>
      </c>
      <c r="E243" s="26">
        <v>0</v>
      </c>
      <c r="F243" s="25">
        <v>0</v>
      </c>
      <c r="G243" s="25">
        <v>0</v>
      </c>
      <c r="H243" s="25">
        <v>0</v>
      </c>
    </row>
    <row r="244" spans="4:8" ht="24.75" thickBot="1" x14ac:dyDescent="0.3">
      <c r="D244" s="70" t="s">
        <v>121</v>
      </c>
      <c r="E244" s="71">
        <f>E243+E241+E242+E240+E239+E238+E237</f>
        <v>906421.77899999998</v>
      </c>
      <c r="F244" s="71">
        <f>F243+F241+F242+F240+F239+F238+F237</f>
        <v>917120.77899999998</v>
      </c>
      <c r="G244" s="71">
        <f>G243+G241+G242+G240+G239+G238+G237</f>
        <v>931322.77899999998</v>
      </c>
      <c r="H244" s="71">
        <f>H243+H241+H242+H240+H239+H238+H237</f>
        <v>931322.77899999998</v>
      </c>
    </row>
    <row r="245" spans="4:8" ht="15.75" thickBot="1" x14ac:dyDescent="0.3">
      <c r="D245" s="28" t="s">
        <v>93</v>
      </c>
      <c r="E245" s="29">
        <f>IF(E244-E229=0,0,"Error")</f>
        <v>0</v>
      </c>
      <c r="F245" s="29">
        <f>IF(F244-F229=0,0,"Error")</f>
        <v>0</v>
      </c>
      <c r="G245" s="29">
        <f>IF(G244-G229=0,0,"Error")</f>
        <v>0</v>
      </c>
      <c r="H245" s="29">
        <f>IF(H244-H229=0,0,"Error")</f>
        <v>0</v>
      </c>
    </row>
    <row r="246" spans="4:8" ht="15.75" thickBot="1" x14ac:dyDescent="0.3">
      <c r="D246" s="18" t="s">
        <v>225</v>
      </c>
      <c r="E246" s="370" t="s">
        <v>226</v>
      </c>
      <c r="F246" s="371"/>
      <c r="G246" s="371"/>
      <c r="H246" s="372"/>
    </row>
    <row r="247" spans="4:8" ht="15.75" thickBot="1" x14ac:dyDescent="0.3">
      <c r="D247" s="19" t="s">
        <v>73</v>
      </c>
      <c r="E247" s="335" t="s">
        <v>227</v>
      </c>
      <c r="F247" s="336"/>
      <c r="G247" s="336"/>
      <c r="H247" s="337"/>
    </row>
    <row r="248" spans="4:8" ht="15.75" thickBot="1" x14ac:dyDescent="0.3">
      <c r="D248" s="19" t="s">
        <v>75</v>
      </c>
      <c r="E248" s="335" t="s">
        <v>228</v>
      </c>
      <c r="F248" s="336"/>
      <c r="G248" s="336"/>
      <c r="H248" s="337"/>
    </row>
    <row r="249" spans="4:8" x14ac:dyDescent="0.25">
      <c r="D249" s="350"/>
      <c r="E249" s="20">
        <v>2018</v>
      </c>
      <c r="F249" s="20">
        <v>2019</v>
      </c>
      <c r="G249" s="20">
        <v>2020</v>
      </c>
      <c r="H249" s="20">
        <v>2021</v>
      </c>
    </row>
    <row r="250" spans="4:8" ht="15.75" thickBot="1" x14ac:dyDescent="0.3">
      <c r="D250" s="351"/>
      <c r="E250" s="21" t="s">
        <v>42</v>
      </c>
      <c r="F250" s="21" t="s">
        <v>43</v>
      </c>
      <c r="G250" s="21" t="s">
        <v>43</v>
      </c>
      <c r="H250" s="21" t="s">
        <v>43</v>
      </c>
    </row>
    <row r="251" spans="4:8" ht="15.75" thickBot="1" x14ac:dyDescent="0.3">
      <c r="D251" s="19" t="s">
        <v>77</v>
      </c>
      <c r="E251" s="22">
        <v>136</v>
      </c>
      <c r="F251" s="22">
        <v>136</v>
      </c>
      <c r="G251" s="22">
        <v>136</v>
      </c>
      <c r="H251" s="22">
        <v>136</v>
      </c>
    </row>
    <row r="252" spans="4:8" ht="15.75" thickBot="1" x14ac:dyDescent="0.3">
      <c r="D252" s="19" t="s">
        <v>78</v>
      </c>
      <c r="E252" s="22">
        <f>171196757/1000</f>
        <v>171196.75700000001</v>
      </c>
      <c r="F252" s="22">
        <f>171196757/1000</f>
        <v>171196.75700000001</v>
      </c>
      <c r="G252" s="22">
        <f>171196757/1000</f>
        <v>171196.75700000001</v>
      </c>
      <c r="H252" s="22">
        <f>171196757/1000</f>
        <v>171196.75700000001</v>
      </c>
    </row>
    <row r="253" spans="4:8" ht="15.75" thickBot="1" x14ac:dyDescent="0.3">
      <c r="D253" s="19" t="s">
        <v>79</v>
      </c>
      <c r="E253" s="22">
        <f>E252/E251</f>
        <v>1258.7996838235294</v>
      </c>
      <c r="F253" s="22">
        <f>F252/F251</f>
        <v>1258.7996838235294</v>
      </c>
      <c r="G253" s="22">
        <f>G252/G251</f>
        <v>1258.7996838235294</v>
      </c>
      <c r="H253" s="22">
        <f>H252/H251</f>
        <v>1258.7996838235294</v>
      </c>
    </row>
    <row r="254" spans="4:8" ht="15.75" thickBot="1" x14ac:dyDescent="0.3">
      <c r="D254" s="19" t="s">
        <v>80</v>
      </c>
      <c r="E254" s="23"/>
      <c r="F254" s="53">
        <f>F251/E251-1</f>
        <v>0</v>
      </c>
      <c r="G254" s="53">
        <f t="shared" ref="G254:H256" si="10">G251/F251-1</f>
        <v>0</v>
      </c>
      <c r="H254" s="53">
        <f t="shared" si="10"/>
        <v>0</v>
      </c>
    </row>
    <row r="255" spans="4:8" ht="15.75" thickBot="1" x14ac:dyDescent="0.3">
      <c r="D255" s="19" t="s">
        <v>82</v>
      </c>
      <c r="E255" s="23"/>
      <c r="F255" s="53">
        <f>F252/E252-1</f>
        <v>0</v>
      </c>
      <c r="G255" s="53">
        <f t="shared" si="10"/>
        <v>0</v>
      </c>
      <c r="H255" s="53">
        <v>0</v>
      </c>
    </row>
    <row r="256" spans="4:8" ht="15.75" thickBot="1" x14ac:dyDescent="0.3">
      <c r="D256" s="19" t="s">
        <v>83</v>
      </c>
      <c r="E256" s="23"/>
      <c r="F256" s="53">
        <f>F253/E253-1</f>
        <v>0</v>
      </c>
      <c r="G256" s="53">
        <f t="shared" si="10"/>
        <v>0</v>
      </c>
      <c r="H256" s="53">
        <f t="shared" si="10"/>
        <v>0</v>
      </c>
    </row>
    <row r="257" spans="4:8" x14ac:dyDescent="0.25">
      <c r="D257" s="350"/>
      <c r="E257" s="20">
        <v>2018</v>
      </c>
      <c r="F257" s="20">
        <v>2019</v>
      </c>
      <c r="G257" s="20">
        <v>2020</v>
      </c>
      <c r="H257" s="20">
        <v>2021</v>
      </c>
    </row>
    <row r="258" spans="4:8" ht="15.75" thickBot="1" x14ac:dyDescent="0.3">
      <c r="D258" s="351"/>
      <c r="E258" s="21" t="s">
        <v>42</v>
      </c>
      <c r="F258" s="21" t="s">
        <v>43</v>
      </c>
      <c r="G258" s="21" t="s">
        <v>43</v>
      </c>
      <c r="H258" s="21" t="s">
        <v>43</v>
      </c>
    </row>
    <row r="259" spans="4:8" ht="15.75" thickBot="1" x14ac:dyDescent="0.3">
      <c r="D259" s="338" t="s">
        <v>229</v>
      </c>
      <c r="E259" s="339"/>
      <c r="F259" s="339"/>
      <c r="G259" s="339"/>
      <c r="H259" s="340"/>
    </row>
    <row r="260" spans="4:8" x14ac:dyDescent="0.25">
      <c r="D260" s="350"/>
      <c r="E260" s="20">
        <v>2018</v>
      </c>
      <c r="F260" s="20">
        <v>2019</v>
      </c>
      <c r="G260" s="20">
        <v>2020</v>
      </c>
      <c r="H260" s="20">
        <v>2021</v>
      </c>
    </row>
    <row r="261" spans="4:8" ht="15.75" thickBot="1" x14ac:dyDescent="0.3">
      <c r="D261" s="351"/>
      <c r="E261" s="21" t="s">
        <v>42</v>
      </c>
      <c r="F261" s="21" t="s">
        <v>43</v>
      </c>
      <c r="G261" s="21" t="s">
        <v>43</v>
      </c>
      <c r="H261" s="21" t="s">
        <v>43</v>
      </c>
    </row>
    <row r="262" spans="4:8" ht="15.75" thickBot="1" x14ac:dyDescent="0.3">
      <c r="D262" s="59" t="s">
        <v>85</v>
      </c>
      <c r="E262" s="54">
        <f>146698164/1000</f>
        <v>146698.16399999999</v>
      </c>
      <c r="F262" s="54">
        <f>146698164/1000</f>
        <v>146698.16399999999</v>
      </c>
      <c r="G262" s="54">
        <f>146698164/1000</f>
        <v>146698.16399999999</v>
      </c>
      <c r="H262" s="54">
        <f>146698164/1000</f>
        <v>146698.16399999999</v>
      </c>
    </row>
    <row r="263" spans="4:8" ht="15.75" thickBot="1" x14ac:dyDescent="0.3">
      <c r="D263" s="59" t="s">
        <v>86</v>
      </c>
      <c r="E263" s="54">
        <f>24498593/1000</f>
        <v>24498.593000000001</v>
      </c>
      <c r="F263" s="54">
        <f>24498593/1000</f>
        <v>24498.593000000001</v>
      </c>
      <c r="G263" s="54">
        <f>24498593/1000</f>
        <v>24498.593000000001</v>
      </c>
      <c r="H263" s="54">
        <f>24498593/1000</f>
        <v>24498.593000000001</v>
      </c>
    </row>
    <row r="264" spans="4:8" ht="15.75" thickBot="1" x14ac:dyDescent="0.3">
      <c r="D264" s="59" t="s">
        <v>87</v>
      </c>
      <c r="E264" s="72">
        <v>0</v>
      </c>
      <c r="F264" s="56">
        <v>0</v>
      </c>
      <c r="G264" s="56">
        <v>0</v>
      </c>
      <c r="H264" s="56">
        <v>0</v>
      </c>
    </row>
    <row r="265" spans="4:8" ht="15.75" thickBot="1" x14ac:dyDescent="0.3">
      <c r="D265" s="59" t="s">
        <v>88</v>
      </c>
      <c r="E265" s="55">
        <v>0</v>
      </c>
      <c r="F265" s="55">
        <v>0</v>
      </c>
      <c r="G265" s="55">
        <v>0</v>
      </c>
      <c r="H265" s="55">
        <v>0</v>
      </c>
    </row>
    <row r="266" spans="4:8" ht="15.75" thickBot="1" x14ac:dyDescent="0.3">
      <c r="D266" s="59" t="s">
        <v>89</v>
      </c>
      <c r="E266" s="55">
        <v>0</v>
      </c>
      <c r="F266" s="55">
        <v>0</v>
      </c>
      <c r="G266" s="55">
        <v>0</v>
      </c>
      <c r="H266" s="55">
        <v>0</v>
      </c>
    </row>
    <row r="267" spans="4:8" ht="15.75" thickBot="1" x14ac:dyDescent="0.3">
      <c r="D267" s="59" t="s">
        <v>90</v>
      </c>
      <c r="E267" s="55">
        <v>0</v>
      </c>
      <c r="F267" s="55">
        <v>0</v>
      </c>
      <c r="G267" s="55">
        <v>0</v>
      </c>
      <c r="H267" s="55">
        <v>0</v>
      </c>
    </row>
    <row r="268" spans="4:8" ht="15.75" thickBot="1" x14ac:dyDescent="0.3">
      <c r="D268" s="59" t="s">
        <v>91</v>
      </c>
      <c r="E268" s="55">
        <v>0</v>
      </c>
      <c r="F268" s="55">
        <v>0</v>
      </c>
      <c r="G268" s="55">
        <v>0</v>
      </c>
      <c r="H268" s="55">
        <v>0</v>
      </c>
    </row>
    <row r="269" spans="4:8" ht="24.75" thickBot="1" x14ac:dyDescent="0.3">
      <c r="D269" s="73" t="s">
        <v>121</v>
      </c>
      <c r="E269" s="74">
        <f>E268+E267+E266+E265+E264+E263+E262</f>
        <v>171196.75699999998</v>
      </c>
      <c r="F269" s="74">
        <f>F268+F267+F266+F265+F264+F263+F262</f>
        <v>171196.75699999998</v>
      </c>
      <c r="G269" s="74">
        <f>G268+G267+G266+G265+G264+G263+G262</f>
        <v>171196.75699999998</v>
      </c>
      <c r="H269" s="74">
        <f>H268+H267+H266+H265+H264+H263+H262</f>
        <v>171196.75699999998</v>
      </c>
    </row>
    <row r="270" spans="4:8" x14ac:dyDescent="0.25">
      <c r="D270" s="355" t="s">
        <v>230</v>
      </c>
      <c r="E270" s="396" t="s">
        <v>81</v>
      </c>
      <c r="F270" s="396"/>
      <c r="G270" s="396"/>
      <c r="H270" s="397"/>
    </row>
    <row r="271" spans="4:8" x14ac:dyDescent="0.25">
      <c r="D271" s="356"/>
      <c r="E271" s="398"/>
      <c r="F271" s="398"/>
      <c r="G271" s="398"/>
      <c r="H271" s="399"/>
    </row>
    <row r="272" spans="4:8" ht="15.75" thickBot="1" x14ac:dyDescent="0.3">
      <c r="D272" s="357"/>
      <c r="E272" s="400"/>
      <c r="F272" s="400"/>
      <c r="G272" s="400"/>
      <c r="H272" s="401"/>
    </row>
    <row r="273" spans="4:8" ht="15.75" thickBot="1" x14ac:dyDescent="0.3">
      <c r="D273" s="28" t="s">
        <v>93</v>
      </c>
      <c r="E273" s="77" t="str">
        <f>IF(E269-E252=0,0,"Error")</f>
        <v>Error</v>
      </c>
      <c r="F273" s="77" t="str">
        <f>IF(F269-F252=0,0,"Error")</f>
        <v>Error</v>
      </c>
      <c r="G273" s="77" t="str">
        <f>IF(G269-G252=0,0,"Error")</f>
        <v>Error</v>
      </c>
      <c r="H273" s="77" t="str">
        <f>IF(H269-H252=0,0,"Error")</f>
        <v>Error</v>
      </c>
    </row>
    <row r="274" spans="4:8" ht="15.75" thickBot="1" x14ac:dyDescent="0.3">
      <c r="D274" s="33"/>
      <c r="E274" s="34"/>
      <c r="F274" s="34"/>
      <c r="G274" s="34"/>
      <c r="H274" s="34"/>
    </row>
    <row r="275" spans="4:8" ht="24.75" thickBot="1" x14ac:dyDescent="0.3">
      <c r="D275" s="51" t="s">
        <v>122</v>
      </c>
      <c r="E275" s="78">
        <f>E30+E56+E79+E97+E115+E133+E159+E187+E206+E229+E252</f>
        <v>2782000</v>
      </c>
      <c r="F275" s="78">
        <f t="shared" ref="F275:H275" si="11">F30+F56+F79+F97+F115+F133+F159+F187+F206+F229+F252</f>
        <v>2577000</v>
      </c>
      <c r="G275" s="78">
        <f t="shared" si="11"/>
        <v>2617000.0000000005</v>
      </c>
      <c r="H275" s="78">
        <f t="shared" si="11"/>
        <v>2700000.0000000005</v>
      </c>
    </row>
    <row r="276" spans="4:8" ht="24.75" thickBot="1" x14ac:dyDescent="0.3">
      <c r="D276" s="51" t="s">
        <v>123</v>
      </c>
      <c r="E276" s="78">
        <f>E278+E280+E282+E284+E286+E288+E290+E292+E294</f>
        <v>2782000</v>
      </c>
      <c r="F276" s="78">
        <f>F278+F280+F282+F284+F286+F288+F290+F292+F294</f>
        <v>2577000</v>
      </c>
      <c r="G276" s="78">
        <f>G278+G280+G282+G284+G286+G288+G290+G292+G294</f>
        <v>2617000</v>
      </c>
      <c r="H276" s="78">
        <f>H278+H280+H282+H284+H286+H288+H290+H292+H294</f>
        <v>2700000</v>
      </c>
    </row>
    <row r="277" spans="4:8" ht="24.75" thickBot="1" x14ac:dyDescent="0.3">
      <c r="D277" s="79" t="s">
        <v>124</v>
      </c>
      <c r="E277" s="80"/>
      <c r="F277" s="81">
        <f>F276/E276-1</f>
        <v>-7.368799424874195E-2</v>
      </c>
      <c r="G277" s="81">
        <f>G276/F276-1</f>
        <v>1.5521924718665092E-2</v>
      </c>
      <c r="H277" s="81">
        <f>H276/G276-1</f>
        <v>3.1715705005731731E-2</v>
      </c>
    </row>
    <row r="278" spans="4:8" ht="15.75" thickBot="1" x14ac:dyDescent="0.3">
      <c r="D278" s="24" t="s">
        <v>85</v>
      </c>
      <c r="E278" s="25">
        <f>E38+E169+E237+E262</f>
        <v>1585110</v>
      </c>
      <c r="F278" s="25">
        <f t="shared" ref="F278:H278" si="12">F38+F169+F237+F262</f>
        <v>1550000</v>
      </c>
      <c r="G278" s="25">
        <f t="shared" si="12"/>
        <v>1550000</v>
      </c>
      <c r="H278" s="25">
        <f t="shared" si="12"/>
        <v>1550000</v>
      </c>
    </row>
    <row r="279" spans="4:8" ht="15.75" thickBot="1" x14ac:dyDescent="0.3">
      <c r="D279" s="82" t="s">
        <v>125</v>
      </c>
      <c r="E279" s="26"/>
      <c r="F279" s="83">
        <f>F278/E278-1</f>
        <v>-2.2149882342550331E-2</v>
      </c>
      <c r="G279" s="83">
        <f>G278/F278-1</f>
        <v>0</v>
      </c>
      <c r="H279" s="83">
        <f>H278/G278-1</f>
        <v>0</v>
      </c>
    </row>
    <row r="280" spans="4:8" ht="15.75" thickBot="1" x14ac:dyDescent="0.3">
      <c r="D280" s="24" t="s">
        <v>86</v>
      </c>
      <c r="E280" s="25">
        <f>E39+E170+E238+E263</f>
        <v>271890</v>
      </c>
      <c r="F280" s="25">
        <f t="shared" ref="F280:H280" si="13">F39+F170+F238+F263</f>
        <v>255000</v>
      </c>
      <c r="G280" s="25">
        <f t="shared" si="13"/>
        <v>255000</v>
      </c>
      <c r="H280" s="25">
        <f t="shared" si="13"/>
        <v>255000</v>
      </c>
    </row>
    <row r="281" spans="4:8" ht="24.75" thickBot="1" x14ac:dyDescent="0.3">
      <c r="D281" s="82" t="s">
        <v>126</v>
      </c>
      <c r="E281" s="26"/>
      <c r="F281" s="83">
        <f>F280/E280-1</f>
        <v>-6.2120710581485161E-2</v>
      </c>
      <c r="G281" s="83">
        <f>G280/F280-1</f>
        <v>0</v>
      </c>
      <c r="H281" s="83">
        <f>H280/G280-1</f>
        <v>0</v>
      </c>
    </row>
    <row r="282" spans="4:8" ht="15.75" thickBot="1" x14ac:dyDescent="0.3">
      <c r="D282" s="24" t="s">
        <v>87</v>
      </c>
      <c r="E282" s="25">
        <f>E40+E171+E239+E264</f>
        <v>540500</v>
      </c>
      <c r="F282" s="25">
        <f t="shared" ref="F282:H282" si="14">F40+F171+F239+F264</f>
        <v>693500</v>
      </c>
      <c r="G282" s="25">
        <f t="shared" si="14"/>
        <v>793500</v>
      </c>
      <c r="H282" s="25">
        <f t="shared" si="14"/>
        <v>893500</v>
      </c>
    </row>
    <row r="283" spans="4:8" ht="15.75" thickBot="1" x14ac:dyDescent="0.3">
      <c r="D283" s="82" t="s">
        <v>127</v>
      </c>
      <c r="E283" s="26"/>
      <c r="F283" s="83">
        <f>F282/E282-1</f>
        <v>0.28307123034227577</v>
      </c>
      <c r="G283" s="83">
        <f>G282/F282-1</f>
        <v>0.14419610670511895</v>
      </c>
      <c r="H283" s="83">
        <f>H282/G282-1</f>
        <v>0.12602394454946442</v>
      </c>
    </row>
    <row r="284" spans="4:8" ht="15.75" thickBot="1" x14ac:dyDescent="0.3">
      <c r="D284" s="24" t="s">
        <v>88</v>
      </c>
      <c r="E284" s="25">
        <f>E240+E172+E41+E265</f>
        <v>0</v>
      </c>
      <c r="F284" s="25">
        <f t="shared" ref="F284:H284" si="15">F240+F172+F41+F265</f>
        <v>0</v>
      </c>
      <c r="G284" s="25">
        <f t="shared" si="15"/>
        <v>0</v>
      </c>
      <c r="H284" s="25">
        <f t="shared" si="15"/>
        <v>0</v>
      </c>
    </row>
    <row r="285" spans="4:8" ht="15.75" thickBot="1" x14ac:dyDescent="0.3">
      <c r="D285" s="82" t="s">
        <v>231</v>
      </c>
      <c r="E285" s="26"/>
      <c r="F285" s="83" t="e">
        <f>F284/E284-1</f>
        <v>#DIV/0!</v>
      </c>
      <c r="G285" s="83" t="e">
        <f>G284/F284-1</f>
        <v>#DIV/0!</v>
      </c>
      <c r="H285" s="83" t="e">
        <f>H284/G284-1</f>
        <v>#DIV/0!</v>
      </c>
    </row>
    <row r="286" spans="4:8" ht="15.75" thickBot="1" x14ac:dyDescent="0.3">
      <c r="D286" s="24" t="s">
        <v>89</v>
      </c>
      <c r="E286" s="25">
        <f>E42+E173+E241+E266</f>
        <v>0</v>
      </c>
      <c r="F286" s="25">
        <f t="shared" ref="F286:H286" si="16">F41+F172+F240+F265</f>
        <v>0</v>
      </c>
      <c r="G286" s="25">
        <f t="shared" si="16"/>
        <v>0</v>
      </c>
      <c r="H286" s="25">
        <f t="shared" si="16"/>
        <v>0</v>
      </c>
    </row>
    <row r="287" spans="4:8" ht="15.75" thickBot="1" x14ac:dyDescent="0.3">
      <c r="D287" s="82" t="s">
        <v>232</v>
      </c>
      <c r="E287" s="26"/>
      <c r="F287" s="83" t="e">
        <f>F286/E286-1</f>
        <v>#DIV/0!</v>
      </c>
      <c r="G287" s="83" t="e">
        <f>G286/F286-1</f>
        <v>#DIV/0!</v>
      </c>
      <c r="H287" s="83" t="e">
        <f>H286/G286-1</f>
        <v>#DIV/0!</v>
      </c>
    </row>
    <row r="288" spans="4:8" ht="15.75" thickBot="1" x14ac:dyDescent="0.3">
      <c r="D288" s="24" t="s">
        <v>90</v>
      </c>
      <c r="E288" s="25">
        <f>E43+E174+E242+E267</f>
        <v>1260</v>
      </c>
      <c r="F288" s="25">
        <f t="shared" ref="F288:H288" si="17">F43+F174+F242+F267</f>
        <v>1260</v>
      </c>
      <c r="G288" s="25">
        <f t="shared" si="17"/>
        <v>1260</v>
      </c>
      <c r="H288" s="25">
        <f t="shared" si="17"/>
        <v>1260</v>
      </c>
    </row>
    <row r="289" spans="4:8" ht="15.75" thickBot="1" x14ac:dyDescent="0.3">
      <c r="D289" s="82" t="s">
        <v>233</v>
      </c>
      <c r="E289" s="26"/>
      <c r="F289" s="83">
        <f>F288/E288-1</f>
        <v>0</v>
      </c>
      <c r="G289" s="83">
        <f>G288/F288-1</f>
        <v>0</v>
      </c>
      <c r="H289" s="83">
        <f>H288/G288-1</f>
        <v>0</v>
      </c>
    </row>
    <row r="290" spans="4:8" ht="15.75" thickBot="1" x14ac:dyDescent="0.3">
      <c r="D290" s="24" t="s">
        <v>91</v>
      </c>
      <c r="E290" s="25">
        <f>E44+E175+E243+E268</f>
        <v>240</v>
      </c>
      <c r="F290" s="25">
        <f t="shared" ref="F290:H290" si="18">F44+F175+F243+F268</f>
        <v>240</v>
      </c>
      <c r="G290" s="25">
        <f t="shared" si="18"/>
        <v>240</v>
      </c>
      <c r="H290" s="25">
        <f t="shared" si="18"/>
        <v>240</v>
      </c>
    </row>
    <row r="291" spans="4:8" ht="24.75" thickBot="1" x14ac:dyDescent="0.3">
      <c r="D291" s="82" t="s">
        <v>234</v>
      </c>
      <c r="E291" s="26"/>
      <c r="F291" s="83">
        <f>F290/E290-1</f>
        <v>0</v>
      </c>
      <c r="G291" s="83">
        <f>G290/F290-1</f>
        <v>0</v>
      </c>
      <c r="H291" s="83">
        <f>H290/G290-1</f>
        <v>0</v>
      </c>
    </row>
    <row r="292" spans="4:8" ht="15.75" thickBot="1" x14ac:dyDescent="0.3">
      <c r="D292" s="24" t="s">
        <v>128</v>
      </c>
      <c r="E292" s="25">
        <f>E64+E87+E105+E123+E141+E195+E214</f>
        <v>5520</v>
      </c>
      <c r="F292" s="25">
        <f t="shared" ref="F292:H292" si="19">F64+F87+F105+F123+F141+F195+F214</f>
        <v>6210</v>
      </c>
      <c r="G292" s="25">
        <f t="shared" si="19"/>
        <v>7000</v>
      </c>
      <c r="H292" s="25">
        <f t="shared" si="19"/>
        <v>0</v>
      </c>
    </row>
    <row r="293" spans="4:8" ht="15.75" thickBot="1" x14ac:dyDescent="0.3">
      <c r="D293" s="82" t="s">
        <v>129</v>
      </c>
      <c r="E293" s="26"/>
      <c r="F293" s="83">
        <f>F292/E292-1</f>
        <v>0.125</v>
      </c>
      <c r="G293" s="83">
        <f>G292/F292-1</f>
        <v>0.12721417069243146</v>
      </c>
      <c r="H293" s="83">
        <f>H292/G292-1</f>
        <v>-1</v>
      </c>
    </row>
    <row r="294" spans="4:8" ht="15.75" thickBot="1" x14ac:dyDescent="0.3">
      <c r="D294" s="24" t="s">
        <v>235</v>
      </c>
      <c r="E294" s="25">
        <f>E65+E88+E106+E124+E142+E196+E215</f>
        <v>377480</v>
      </c>
      <c r="F294" s="25">
        <f t="shared" ref="F294:H294" si="20">F65+F88+F106+F124+F142+F196+F215</f>
        <v>70790</v>
      </c>
      <c r="G294" s="25">
        <f t="shared" si="20"/>
        <v>10000</v>
      </c>
      <c r="H294" s="25">
        <f t="shared" si="20"/>
        <v>0</v>
      </c>
    </row>
    <row r="295" spans="4:8" ht="15.75" thickBot="1" x14ac:dyDescent="0.3">
      <c r="D295" s="82" t="s">
        <v>236</v>
      </c>
      <c r="E295" s="26"/>
      <c r="F295" s="83">
        <f>F294/E294-1</f>
        <v>-0.81246688566281655</v>
      </c>
      <c r="G295" s="83">
        <f>G294/F294-1</f>
        <v>-0.85873710976126572</v>
      </c>
      <c r="H295" s="83">
        <f>H294/G294-1</f>
        <v>-1</v>
      </c>
    </row>
    <row r="296" spans="4:8" ht="15.75" thickBot="1" x14ac:dyDescent="0.3">
      <c r="D296" s="28" t="s">
        <v>93</v>
      </c>
      <c r="E296" s="29">
        <f>IF(E276-E275=0,0,"Error")</f>
        <v>0</v>
      </c>
      <c r="F296" s="29">
        <f>IF(F276-F275=0,0,"Error")</f>
        <v>0</v>
      </c>
      <c r="G296" s="29" t="str">
        <f>IF(G276-G275=0,0,"Error")</f>
        <v>Error</v>
      </c>
      <c r="H296" s="29" t="str">
        <f>IF(H276-H275=0,0,"Error")</f>
        <v>Error</v>
      </c>
    </row>
    <row r="297" spans="4:8" ht="24.75" thickBot="1" x14ac:dyDescent="0.3">
      <c r="D297" s="45" t="s">
        <v>130</v>
      </c>
      <c r="E297" s="54">
        <v>1569</v>
      </c>
      <c r="F297" s="54">
        <v>1569</v>
      </c>
      <c r="G297" s="54">
        <v>1569</v>
      </c>
      <c r="H297" s="54">
        <v>1569</v>
      </c>
    </row>
    <row r="298" spans="4:8" ht="24.75" thickBot="1" x14ac:dyDescent="0.3">
      <c r="D298" s="45" t="s">
        <v>131</v>
      </c>
      <c r="E298" s="54">
        <v>300</v>
      </c>
      <c r="F298" s="54" t="s">
        <v>81</v>
      </c>
      <c r="G298" s="54" t="s">
        <v>81</v>
      </c>
      <c r="H298" s="54" t="s">
        <v>81</v>
      </c>
    </row>
  </sheetData>
  <mergeCells count="105">
    <mergeCell ref="D260:D261"/>
    <mergeCell ref="D270:D272"/>
    <mergeCell ref="E270:H272"/>
    <mergeCell ref="E246:H246"/>
    <mergeCell ref="E247:H247"/>
    <mergeCell ref="E248:H248"/>
    <mergeCell ref="D249:D250"/>
    <mergeCell ref="D257:D258"/>
    <mergeCell ref="D259:H259"/>
    <mergeCell ref="E223:H223"/>
    <mergeCell ref="E224:H224"/>
    <mergeCell ref="E225:H225"/>
    <mergeCell ref="D226:D227"/>
    <mergeCell ref="D234:H234"/>
    <mergeCell ref="D235:D236"/>
    <mergeCell ref="D203:D204"/>
    <mergeCell ref="D211:H211"/>
    <mergeCell ref="D212:D213"/>
    <mergeCell ref="E217:H217"/>
    <mergeCell ref="D218:H218"/>
    <mergeCell ref="D222:H222"/>
    <mergeCell ref="D192:H192"/>
    <mergeCell ref="D193:D194"/>
    <mergeCell ref="E199:H199"/>
    <mergeCell ref="E200:H200"/>
    <mergeCell ref="E201:H201"/>
    <mergeCell ref="E202:H202"/>
    <mergeCell ref="D179:H179"/>
    <mergeCell ref="E180:H180"/>
    <mergeCell ref="E181:H181"/>
    <mergeCell ref="E182:H182"/>
    <mergeCell ref="E183:H183"/>
    <mergeCell ref="D184:D185"/>
    <mergeCell ref="E155:H155"/>
    <mergeCell ref="D156:D157"/>
    <mergeCell ref="D164:D165"/>
    <mergeCell ref="D166:H166"/>
    <mergeCell ref="D167:D168"/>
    <mergeCell ref="D178:H178"/>
    <mergeCell ref="D145:H145"/>
    <mergeCell ref="D149:H149"/>
    <mergeCell ref="D150:H150"/>
    <mergeCell ref="D151:D152"/>
    <mergeCell ref="E153:H153"/>
    <mergeCell ref="E154:H154"/>
    <mergeCell ref="E128:H128"/>
    <mergeCell ref="E129:H129"/>
    <mergeCell ref="D130:D131"/>
    <mergeCell ref="D138:H138"/>
    <mergeCell ref="D139:D140"/>
    <mergeCell ref="E144:H144"/>
    <mergeCell ref="E111:H111"/>
    <mergeCell ref="D112:D113"/>
    <mergeCell ref="D120:H120"/>
    <mergeCell ref="D121:D122"/>
    <mergeCell ref="E126:H126"/>
    <mergeCell ref="E127:H127"/>
    <mergeCell ref="D94:D95"/>
    <mergeCell ref="D102:H102"/>
    <mergeCell ref="D103:D104"/>
    <mergeCell ref="E108:H108"/>
    <mergeCell ref="E109:H109"/>
    <mergeCell ref="E110:H110"/>
    <mergeCell ref="D84:H84"/>
    <mergeCell ref="D85:D86"/>
    <mergeCell ref="E90:H90"/>
    <mergeCell ref="E91:H91"/>
    <mergeCell ref="E92:H92"/>
    <mergeCell ref="E93:H93"/>
    <mergeCell ref="D71:H71"/>
    <mergeCell ref="E72:H72"/>
    <mergeCell ref="E73:H73"/>
    <mergeCell ref="E74:H74"/>
    <mergeCell ref="E75:H75"/>
    <mergeCell ref="D76:D77"/>
    <mergeCell ref="D53:D54"/>
    <mergeCell ref="D61:H61"/>
    <mergeCell ref="D62:D63"/>
    <mergeCell ref="D67:D69"/>
    <mergeCell ref="E67:H69"/>
    <mergeCell ref="D70:H70"/>
    <mergeCell ref="D47:H47"/>
    <mergeCell ref="D48:H48"/>
    <mergeCell ref="E49:H49"/>
    <mergeCell ref="E50:H50"/>
    <mergeCell ref="E51:H51"/>
    <mergeCell ref="E52:H52"/>
    <mergeCell ref="E24:H24"/>
    <mergeCell ref="E25:H25"/>
    <mergeCell ref="E26:H26"/>
    <mergeCell ref="D27:D28"/>
    <mergeCell ref="D35:H35"/>
    <mergeCell ref="D36:D37"/>
    <mergeCell ref="E12:H12"/>
    <mergeCell ref="D13:D14"/>
    <mergeCell ref="E18:H18"/>
    <mergeCell ref="D19:H19"/>
    <mergeCell ref="D22:H22"/>
    <mergeCell ref="D23:H23"/>
    <mergeCell ref="D3:H3"/>
    <mergeCell ref="E5:H5"/>
    <mergeCell ref="E6:H6"/>
    <mergeCell ref="E7:H7"/>
    <mergeCell ref="D8:H8"/>
    <mergeCell ref="D9:H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383"/>
  <sheetViews>
    <sheetView topLeftCell="A385" zoomScale="140" zoomScaleNormal="140" workbookViewId="0">
      <selection activeCell="I13" sqref="I13"/>
    </sheetView>
  </sheetViews>
  <sheetFormatPr defaultRowHeight="15" x14ac:dyDescent="0.25"/>
  <cols>
    <col min="3" max="3" width="28.42578125" customWidth="1"/>
    <col min="4" max="4" width="14.5703125" customWidth="1"/>
    <col min="5" max="5" width="18.140625" customWidth="1"/>
    <col min="6" max="6" width="16.5703125" customWidth="1"/>
    <col min="7" max="7" width="30.42578125" customWidth="1"/>
  </cols>
  <sheetData>
    <row r="2" spans="3:7" x14ac:dyDescent="0.25">
      <c r="C2" s="376" t="s">
        <v>33</v>
      </c>
      <c r="D2" s="376"/>
      <c r="E2" s="376"/>
      <c r="F2" s="376"/>
      <c r="G2" s="376"/>
    </row>
    <row r="3" spans="3:7" ht="15.75" thickBot="1" x14ac:dyDescent="0.3"/>
    <row r="4" spans="3:7" ht="15.75" thickBot="1" x14ac:dyDescent="0.3">
      <c r="C4" s="9" t="s">
        <v>34</v>
      </c>
      <c r="D4" s="402" t="s">
        <v>237</v>
      </c>
      <c r="E4" s="402"/>
      <c r="F4" s="402"/>
      <c r="G4" s="402"/>
    </row>
    <row r="5" spans="3:7" ht="15.75" thickBot="1" x14ac:dyDescent="0.3">
      <c r="C5" s="9" t="s">
        <v>6</v>
      </c>
      <c r="D5" s="403" t="s">
        <v>18</v>
      </c>
      <c r="E5" s="404"/>
      <c r="F5" s="404"/>
      <c r="G5" s="405"/>
    </row>
    <row r="6" spans="3:7" ht="15.75" thickBot="1" x14ac:dyDescent="0.3">
      <c r="C6" s="9" t="s">
        <v>36</v>
      </c>
      <c r="D6" s="406" t="s">
        <v>37</v>
      </c>
      <c r="E6" s="407"/>
      <c r="F6" s="407"/>
      <c r="G6" s="408"/>
    </row>
    <row r="7" spans="3:7" ht="15.75" thickBot="1" x14ac:dyDescent="0.3">
      <c r="C7" s="409" t="s">
        <v>7</v>
      </c>
      <c r="D7" s="410"/>
      <c r="E7" s="410"/>
      <c r="F7" s="410"/>
      <c r="G7" s="411"/>
    </row>
    <row r="8" spans="3:7" ht="15.75" customHeight="1" thickBot="1" x14ac:dyDescent="0.3">
      <c r="C8" s="412" t="s">
        <v>238</v>
      </c>
      <c r="D8" s="413"/>
      <c r="E8" s="413"/>
      <c r="F8" s="413"/>
      <c r="G8" s="414"/>
    </row>
    <row r="9" spans="3:7" ht="15.75" thickBot="1" x14ac:dyDescent="0.3">
      <c r="C9" s="412"/>
      <c r="D9" s="413"/>
      <c r="E9" s="413"/>
      <c r="F9" s="413"/>
      <c r="G9" s="414"/>
    </row>
    <row r="10" spans="3:7" ht="15.75" thickBot="1" x14ac:dyDescent="0.3">
      <c r="C10" s="412"/>
      <c r="D10" s="413"/>
      <c r="E10" s="413"/>
      <c r="F10" s="413"/>
      <c r="G10" s="414"/>
    </row>
    <row r="11" spans="3:7" ht="15.75" customHeight="1" thickBot="1" x14ac:dyDescent="0.3">
      <c r="C11" s="84" t="s">
        <v>39</v>
      </c>
      <c r="D11" s="407" t="s">
        <v>239</v>
      </c>
      <c r="E11" s="420"/>
      <c r="F11" s="420"/>
      <c r="G11" s="421"/>
    </row>
    <row r="12" spans="3:7" ht="15" customHeight="1" x14ac:dyDescent="0.25">
      <c r="C12" s="418" t="s">
        <v>139</v>
      </c>
      <c r="D12" s="20">
        <v>2018</v>
      </c>
      <c r="E12" s="20">
        <v>2019</v>
      </c>
      <c r="F12" s="20">
        <v>2020</v>
      </c>
      <c r="G12" s="20">
        <v>2021</v>
      </c>
    </row>
    <row r="13" spans="3:7" ht="15.75" thickBot="1" x14ac:dyDescent="0.3">
      <c r="C13" s="419"/>
      <c r="D13" s="21" t="s">
        <v>42</v>
      </c>
      <c r="E13" s="21" t="s">
        <v>43</v>
      </c>
      <c r="F13" s="21" t="s">
        <v>43</v>
      </c>
      <c r="G13" s="21" t="s">
        <v>43</v>
      </c>
    </row>
    <row r="14" spans="3:7" ht="23.25" thickBot="1" x14ac:dyDescent="0.3">
      <c r="C14" s="224" t="s">
        <v>240</v>
      </c>
      <c r="D14" s="225">
        <v>1</v>
      </c>
      <c r="E14" s="225">
        <v>1</v>
      </c>
      <c r="F14" s="225">
        <v>1</v>
      </c>
      <c r="G14" s="226">
        <v>1</v>
      </c>
    </row>
    <row r="15" spans="3:7" ht="32.25" customHeight="1" thickBot="1" x14ac:dyDescent="0.3">
      <c r="C15" s="85" t="s">
        <v>46</v>
      </c>
      <c r="D15" s="422" t="s">
        <v>241</v>
      </c>
      <c r="E15" s="423"/>
      <c r="F15" s="423"/>
      <c r="G15" s="424"/>
    </row>
    <row r="16" spans="3:7" ht="15.75" customHeight="1" thickBot="1" x14ac:dyDescent="0.3">
      <c r="C16" s="392" t="s">
        <v>48</v>
      </c>
      <c r="D16" s="393"/>
      <c r="E16" s="393"/>
      <c r="F16" s="393"/>
      <c r="G16" s="394"/>
    </row>
    <row r="17" spans="3:7" ht="23.25" thickBot="1" x14ac:dyDescent="0.3">
      <c r="C17" s="227" t="s">
        <v>242</v>
      </c>
      <c r="D17" s="228">
        <v>0.1</v>
      </c>
      <c r="E17" s="229">
        <v>0.12</v>
      </c>
      <c r="F17" s="229">
        <v>0.14399999999999999</v>
      </c>
      <c r="G17" s="229">
        <v>0.16800000000000001</v>
      </c>
    </row>
    <row r="18" spans="3:7" ht="23.25" thickBot="1" x14ac:dyDescent="0.3">
      <c r="C18" s="227" t="s">
        <v>243</v>
      </c>
      <c r="D18" s="228">
        <v>0.1</v>
      </c>
      <c r="E18" s="229">
        <v>0.12</v>
      </c>
      <c r="F18" s="229">
        <v>0.14399999999999999</v>
      </c>
      <c r="G18" s="229">
        <v>0.16800000000000001</v>
      </c>
    </row>
    <row r="19" spans="3:7" ht="23.25" thickBot="1" x14ac:dyDescent="0.3">
      <c r="C19" s="227" t="s">
        <v>244</v>
      </c>
      <c r="D19" s="228">
        <v>0.08</v>
      </c>
      <c r="E19" s="229">
        <v>9.6000000000000002E-2</v>
      </c>
      <c r="F19" s="230" t="s">
        <v>245</v>
      </c>
      <c r="G19" s="229">
        <v>0.14000000000000001</v>
      </c>
    </row>
    <row r="20" spans="3:7" ht="45.75" thickBot="1" x14ac:dyDescent="0.3">
      <c r="C20" s="231" t="s">
        <v>246</v>
      </c>
      <c r="D20" s="229">
        <v>0.02</v>
      </c>
      <c r="E20" s="229">
        <v>0.02</v>
      </c>
      <c r="F20" s="229">
        <v>0.02</v>
      </c>
      <c r="G20" s="229">
        <v>0.02</v>
      </c>
    </row>
    <row r="21" spans="3:7" ht="34.5" thickBot="1" x14ac:dyDescent="0.3">
      <c r="C21" s="232" t="s">
        <v>247</v>
      </c>
      <c r="D21" s="228">
        <v>0.03</v>
      </c>
      <c r="E21" s="229">
        <v>0.04</v>
      </c>
      <c r="F21" s="229">
        <v>0.05</v>
      </c>
      <c r="G21" s="229">
        <v>0.06</v>
      </c>
    </row>
    <row r="22" spans="3:7" ht="23.25" thickBot="1" x14ac:dyDescent="0.3">
      <c r="C22" s="231" t="s">
        <v>248</v>
      </c>
      <c r="D22" s="228" t="s">
        <v>249</v>
      </c>
      <c r="E22" s="229" t="s">
        <v>250</v>
      </c>
      <c r="F22" s="229" t="s">
        <v>250</v>
      </c>
      <c r="G22" s="229" t="s">
        <v>250</v>
      </c>
    </row>
    <row r="23" spans="3:7" ht="15.75" thickBot="1" x14ac:dyDescent="0.3">
      <c r="C23" s="425" t="s">
        <v>69</v>
      </c>
      <c r="D23" s="426"/>
      <c r="E23" s="426"/>
      <c r="F23" s="426"/>
      <c r="G23" s="427"/>
    </row>
    <row r="24" spans="3:7" ht="15.75" thickBot="1" x14ac:dyDescent="0.3">
      <c r="C24" s="428" t="s">
        <v>70</v>
      </c>
      <c r="D24" s="429"/>
      <c r="E24" s="429"/>
      <c r="F24" s="429"/>
      <c r="G24" s="430"/>
    </row>
    <row r="25" spans="3:7" ht="15.75" customHeight="1" thickBot="1" x14ac:dyDescent="0.3">
      <c r="C25" s="86" t="s">
        <v>109</v>
      </c>
      <c r="D25" s="415" t="s">
        <v>251</v>
      </c>
      <c r="E25" s="416"/>
      <c r="F25" s="416"/>
      <c r="G25" s="417"/>
    </row>
    <row r="26" spans="3:7" ht="15.75" thickBot="1" x14ac:dyDescent="0.3">
      <c r="C26" s="86" t="s">
        <v>73</v>
      </c>
      <c r="D26" s="415" t="s">
        <v>251</v>
      </c>
      <c r="E26" s="416"/>
      <c r="F26" s="416"/>
      <c r="G26" s="417"/>
    </row>
    <row r="27" spans="3:7" ht="15.75" thickBot="1" x14ac:dyDescent="0.3">
      <c r="C27" s="86" t="s">
        <v>75</v>
      </c>
      <c r="D27" s="415" t="s">
        <v>252</v>
      </c>
      <c r="E27" s="416"/>
      <c r="F27" s="416"/>
      <c r="G27" s="417"/>
    </row>
    <row r="28" spans="3:7" x14ac:dyDescent="0.25">
      <c r="C28" s="418"/>
      <c r="D28" s="20">
        <v>2018</v>
      </c>
      <c r="E28" s="20">
        <v>2019</v>
      </c>
      <c r="F28" s="20">
        <v>2020</v>
      </c>
      <c r="G28" s="20">
        <v>2021</v>
      </c>
    </row>
    <row r="29" spans="3:7" ht="15.75" thickBot="1" x14ac:dyDescent="0.3">
      <c r="C29" s="419"/>
      <c r="D29" s="21" t="s">
        <v>42</v>
      </c>
      <c r="E29" s="21" t="s">
        <v>43</v>
      </c>
      <c r="F29" s="21" t="s">
        <v>43</v>
      </c>
      <c r="G29" s="21" t="s">
        <v>43</v>
      </c>
    </row>
    <row r="30" spans="3:7" ht="15.75" thickBot="1" x14ac:dyDescent="0.3">
      <c r="C30" s="231" t="s">
        <v>77</v>
      </c>
      <c r="D30" s="233">
        <v>620000</v>
      </c>
      <c r="E30" s="233">
        <v>638600</v>
      </c>
      <c r="F30" s="233">
        <v>657758</v>
      </c>
      <c r="G30" s="233">
        <v>677490.74</v>
      </c>
    </row>
    <row r="31" spans="3:7" ht="15.75" thickBot="1" x14ac:dyDescent="0.3">
      <c r="C31" s="231" t="s">
        <v>78</v>
      </c>
      <c r="D31" s="233">
        <v>1355551</v>
      </c>
      <c r="E31" s="233">
        <v>1339236</v>
      </c>
      <c r="F31" s="233">
        <v>1320096</v>
      </c>
      <c r="G31" s="233">
        <v>1365706</v>
      </c>
    </row>
    <row r="32" spans="3:7" ht="15.75" thickBot="1" x14ac:dyDescent="0.3">
      <c r="C32" s="231" t="s">
        <v>79</v>
      </c>
      <c r="D32" s="233">
        <f>D31/D30</f>
        <v>2.1863725806451613</v>
      </c>
      <c r="E32" s="233">
        <f t="shared" ref="E32:G32" si="0">E31/E30</f>
        <v>2.097143751957407</v>
      </c>
      <c r="F32" s="233">
        <f t="shared" si="0"/>
        <v>2.0069630471997302</v>
      </c>
      <c r="G32" s="233">
        <f t="shared" si="0"/>
        <v>2.0158297661751066</v>
      </c>
    </row>
    <row r="33" spans="3:7" ht="15.75" thickBot="1" x14ac:dyDescent="0.3">
      <c r="C33" s="231" t="s">
        <v>80</v>
      </c>
      <c r="D33" s="234" t="s">
        <v>81</v>
      </c>
      <c r="E33" s="235">
        <f>E30/D30-1</f>
        <v>3.0000000000000027E-2</v>
      </c>
      <c r="F33" s="235">
        <f t="shared" ref="F33:G35" si="1">F30/E30-1</f>
        <v>3.0000000000000027E-2</v>
      </c>
      <c r="G33" s="235">
        <f t="shared" si="1"/>
        <v>3.0000000000000027E-2</v>
      </c>
    </row>
    <row r="34" spans="3:7" ht="15.75" thickBot="1" x14ac:dyDescent="0.3">
      <c r="C34" s="231" t="s">
        <v>82</v>
      </c>
      <c r="D34" s="234" t="s">
        <v>81</v>
      </c>
      <c r="E34" s="235">
        <f>E31/D31-1</f>
        <v>-1.2035696185536349E-2</v>
      </c>
      <c r="F34" s="235">
        <f t="shared" si="1"/>
        <v>-1.4291730509036538E-2</v>
      </c>
      <c r="G34" s="235">
        <f t="shared" si="1"/>
        <v>3.4550517538118442E-2</v>
      </c>
    </row>
    <row r="35" spans="3:7" ht="15.75" thickBot="1" x14ac:dyDescent="0.3">
      <c r="C35" s="231" t="s">
        <v>83</v>
      </c>
      <c r="D35" s="234" t="s">
        <v>81</v>
      </c>
      <c r="E35" s="235">
        <f>E32/D32-1</f>
        <v>-4.0811355519938086E-2</v>
      </c>
      <c r="F35" s="235">
        <f t="shared" si="1"/>
        <v>-4.3001680105860696E-2</v>
      </c>
      <c r="G35" s="235">
        <f t="shared" si="1"/>
        <v>4.4179781923479045E-3</v>
      </c>
    </row>
    <row r="36" spans="3:7" ht="15.75" customHeight="1" thickBot="1" x14ac:dyDescent="0.3">
      <c r="C36" s="392" t="s">
        <v>132</v>
      </c>
      <c r="D36" s="393"/>
      <c r="E36" s="393"/>
      <c r="F36" s="393"/>
      <c r="G36" s="394"/>
    </row>
    <row r="37" spans="3:7" x14ac:dyDescent="0.25">
      <c r="C37" s="418"/>
      <c r="D37" s="20">
        <v>2018</v>
      </c>
      <c r="E37" s="20">
        <v>2019</v>
      </c>
      <c r="F37" s="20">
        <v>2020</v>
      </c>
      <c r="G37" s="20">
        <v>2021</v>
      </c>
    </row>
    <row r="38" spans="3:7" ht="15.75" thickBot="1" x14ac:dyDescent="0.3">
      <c r="C38" s="419"/>
      <c r="D38" s="21" t="s">
        <v>42</v>
      </c>
      <c r="E38" s="21" t="s">
        <v>43</v>
      </c>
      <c r="F38" s="21" t="s">
        <v>43</v>
      </c>
      <c r="G38" s="21" t="s">
        <v>43</v>
      </c>
    </row>
    <row r="39" spans="3:7" ht="15.75" thickBot="1" x14ac:dyDescent="0.3">
      <c r="C39" s="236" t="s">
        <v>85</v>
      </c>
      <c r="D39" s="237">
        <v>850901</v>
      </c>
      <c r="E39" s="237">
        <v>888952</v>
      </c>
      <c r="F39" s="237">
        <v>888952</v>
      </c>
      <c r="G39" s="237">
        <v>888952</v>
      </c>
    </row>
    <row r="40" spans="3:7" ht="24.75" thickBot="1" x14ac:dyDescent="0.3">
      <c r="C40" s="236" t="s">
        <v>86</v>
      </c>
      <c r="D40" s="237">
        <v>117309</v>
      </c>
      <c r="E40" s="237">
        <v>135882</v>
      </c>
      <c r="F40" s="237">
        <v>135882</v>
      </c>
      <c r="G40" s="237">
        <v>135882</v>
      </c>
    </row>
    <row r="41" spans="3:7" ht="15.75" thickBot="1" x14ac:dyDescent="0.3">
      <c r="C41" s="236" t="s">
        <v>87</v>
      </c>
      <c r="D41" s="237">
        <v>381419</v>
      </c>
      <c r="E41" s="237">
        <v>301619</v>
      </c>
      <c r="F41" s="237">
        <v>281775</v>
      </c>
      <c r="G41" s="237">
        <v>337408</v>
      </c>
    </row>
    <row r="42" spans="3:7" ht="15.75" thickBot="1" x14ac:dyDescent="0.3">
      <c r="C42" s="236" t="s">
        <v>88</v>
      </c>
      <c r="D42" s="237">
        <v>0</v>
      </c>
      <c r="E42" s="237">
        <v>0</v>
      </c>
      <c r="F42" s="237">
        <v>0</v>
      </c>
      <c r="G42" s="237">
        <v>0</v>
      </c>
    </row>
    <row r="43" spans="3:7" ht="15.75" thickBot="1" x14ac:dyDescent="0.3">
      <c r="C43" s="236" t="s">
        <v>89</v>
      </c>
      <c r="D43" s="237">
        <v>0</v>
      </c>
      <c r="E43" s="237">
        <v>0</v>
      </c>
      <c r="F43" s="237">
        <v>0</v>
      </c>
      <c r="G43" s="237">
        <v>0</v>
      </c>
    </row>
    <row r="44" spans="3:7" ht="15.75" thickBot="1" x14ac:dyDescent="0.3">
      <c r="C44" s="236" t="s">
        <v>90</v>
      </c>
      <c r="D44" s="237">
        <v>5922</v>
      </c>
      <c r="E44" s="237">
        <f>3396+9387</f>
        <v>12783</v>
      </c>
      <c r="F44" s="237">
        <f>3430+10057</f>
        <v>13487</v>
      </c>
      <c r="G44" s="237">
        <v>3464</v>
      </c>
    </row>
    <row r="45" spans="3:7" ht="24.75" thickBot="1" x14ac:dyDescent="0.3">
      <c r="C45" s="236" t="s">
        <v>91</v>
      </c>
      <c r="D45" s="237"/>
      <c r="E45" s="237"/>
      <c r="F45" s="237"/>
      <c r="G45" s="237"/>
    </row>
    <row r="46" spans="3:7" ht="15.75" thickBot="1" x14ac:dyDescent="0.3">
      <c r="C46" s="238" t="s">
        <v>92</v>
      </c>
      <c r="D46" s="237">
        <f>D45+D44+D43+D42+D41+D40+D39</f>
        <v>1355551</v>
      </c>
      <c r="E46" s="237">
        <f>E45+E44+E43+E42+E41+E40+E39</f>
        <v>1339236</v>
      </c>
      <c r="F46" s="237">
        <f>F45+F44+F43+F42+F41+F40+F39</f>
        <v>1320096</v>
      </c>
      <c r="G46" s="237">
        <f>G45+G44+G43+G42+G41+G40+G39</f>
        <v>1365706</v>
      </c>
    </row>
    <row r="47" spans="3:7" ht="15.75" thickBot="1" x14ac:dyDescent="0.3">
      <c r="C47" s="85" t="s">
        <v>93</v>
      </c>
      <c r="D47" s="90">
        <f>IF(D46-D31=0,0,"Error")</f>
        <v>0</v>
      </c>
      <c r="E47" s="90">
        <f>IF(E46-E31=0,0,"Error")</f>
        <v>0</v>
      </c>
      <c r="F47" s="90">
        <f>IF(F46-F31=0,0,"Error")</f>
        <v>0</v>
      </c>
      <c r="G47" s="90">
        <f>IF(G46-G31=0,0,"Error")</f>
        <v>0</v>
      </c>
    </row>
    <row r="48" spans="3:7" ht="15.75" customHeight="1" thickBot="1" x14ac:dyDescent="0.3">
      <c r="C48" s="91" t="s">
        <v>94</v>
      </c>
      <c r="D48" s="415" t="s">
        <v>253</v>
      </c>
      <c r="E48" s="416"/>
      <c r="F48" s="416"/>
      <c r="G48" s="417"/>
    </row>
    <row r="49" spans="3:7" ht="24" customHeight="1" thickBot="1" x14ac:dyDescent="0.3">
      <c r="C49" s="86" t="s">
        <v>73</v>
      </c>
      <c r="D49" s="434" t="s">
        <v>254</v>
      </c>
      <c r="E49" s="435"/>
      <c r="F49" s="435"/>
      <c r="G49" s="436"/>
    </row>
    <row r="50" spans="3:7" ht="15.75" thickBot="1" x14ac:dyDescent="0.3">
      <c r="C50" s="86" t="s">
        <v>75</v>
      </c>
      <c r="D50" s="434" t="s">
        <v>255</v>
      </c>
      <c r="E50" s="435"/>
      <c r="F50" s="435"/>
      <c r="G50" s="436"/>
    </row>
    <row r="51" spans="3:7" ht="15.75" thickBot="1" x14ac:dyDescent="0.3">
      <c r="C51" s="86" t="s">
        <v>77</v>
      </c>
      <c r="D51" s="87">
        <v>13</v>
      </c>
      <c r="E51" s="87"/>
      <c r="F51" s="87"/>
      <c r="G51" s="87"/>
    </row>
    <row r="52" spans="3:7" x14ac:dyDescent="0.25">
      <c r="C52" s="418"/>
      <c r="D52" s="20">
        <v>2018</v>
      </c>
      <c r="E52" s="20">
        <v>2019</v>
      </c>
      <c r="F52" s="20">
        <v>2020</v>
      </c>
      <c r="G52" s="20">
        <v>2021</v>
      </c>
    </row>
    <row r="53" spans="3:7" ht="15.75" thickBot="1" x14ac:dyDescent="0.3">
      <c r="C53" s="419"/>
      <c r="D53" s="21" t="s">
        <v>42</v>
      </c>
      <c r="E53" s="21" t="s">
        <v>43</v>
      </c>
      <c r="F53" s="21" t="s">
        <v>43</v>
      </c>
      <c r="G53" s="21" t="s">
        <v>43</v>
      </c>
    </row>
    <row r="54" spans="3:7" ht="15.75" thickBot="1" x14ac:dyDescent="0.3">
      <c r="C54" s="231" t="s">
        <v>78</v>
      </c>
      <c r="D54" s="233">
        <v>25064</v>
      </c>
      <c r="E54" s="233">
        <v>0</v>
      </c>
      <c r="F54" s="233">
        <v>0</v>
      </c>
      <c r="G54" s="233">
        <v>0</v>
      </c>
    </row>
    <row r="55" spans="3:7" ht="15.75" thickBot="1" x14ac:dyDescent="0.3">
      <c r="C55" s="231" t="s">
        <v>79</v>
      </c>
      <c r="D55" s="233">
        <f>D54/D51</f>
        <v>1928</v>
      </c>
      <c r="E55" s="233">
        <v>0</v>
      </c>
      <c r="F55" s="233">
        <v>0</v>
      </c>
      <c r="G55" s="233">
        <v>0</v>
      </c>
    </row>
    <row r="56" spans="3:7" ht="15.75" thickBot="1" x14ac:dyDescent="0.3">
      <c r="C56" s="231" t="s">
        <v>80</v>
      </c>
      <c r="D56" s="234"/>
      <c r="E56" s="233">
        <v>0</v>
      </c>
      <c r="F56" s="233">
        <v>0</v>
      </c>
      <c r="G56" s="233">
        <v>0</v>
      </c>
    </row>
    <row r="57" spans="3:7" ht="15.75" thickBot="1" x14ac:dyDescent="0.3">
      <c r="C57" s="231" t="s">
        <v>82</v>
      </c>
      <c r="D57" s="234"/>
      <c r="E57" s="233">
        <v>0</v>
      </c>
      <c r="F57" s="233">
        <v>0</v>
      </c>
      <c r="G57" s="233">
        <v>0</v>
      </c>
    </row>
    <row r="58" spans="3:7" ht="15.75" thickBot="1" x14ac:dyDescent="0.3">
      <c r="C58" s="231" t="s">
        <v>83</v>
      </c>
      <c r="D58" s="234"/>
      <c r="E58" s="233">
        <v>0</v>
      </c>
      <c r="F58" s="233">
        <v>0</v>
      </c>
      <c r="G58" s="233">
        <v>0</v>
      </c>
    </row>
    <row r="59" spans="3:7" ht="15.75" customHeight="1" thickBot="1" x14ac:dyDescent="0.3">
      <c r="C59" s="392" t="s">
        <v>133</v>
      </c>
      <c r="D59" s="393"/>
      <c r="E59" s="393"/>
      <c r="F59" s="393"/>
      <c r="G59" s="394"/>
    </row>
    <row r="60" spans="3:7" x14ac:dyDescent="0.25">
      <c r="C60" s="418"/>
      <c r="D60" s="20">
        <v>2018</v>
      </c>
      <c r="E60" s="20">
        <v>2019</v>
      </c>
      <c r="F60" s="20">
        <v>2020</v>
      </c>
      <c r="G60" s="20">
        <v>2021</v>
      </c>
    </row>
    <row r="61" spans="3:7" ht="15.75" thickBot="1" x14ac:dyDescent="0.3">
      <c r="C61" s="419"/>
      <c r="D61" s="21" t="s">
        <v>42</v>
      </c>
      <c r="E61" s="21" t="s">
        <v>43</v>
      </c>
      <c r="F61" s="21" t="s">
        <v>43</v>
      </c>
      <c r="G61" s="21" t="s">
        <v>43</v>
      </c>
    </row>
    <row r="62" spans="3:7" ht="15.75" thickBot="1" x14ac:dyDescent="0.3">
      <c r="C62" s="236" t="s">
        <v>85</v>
      </c>
      <c r="D62" s="239">
        <v>0</v>
      </c>
      <c r="E62" s="239">
        <v>0</v>
      </c>
      <c r="F62" s="239">
        <v>0</v>
      </c>
      <c r="G62" s="239">
        <v>0</v>
      </c>
    </row>
    <row r="63" spans="3:7" ht="24.75" thickBot="1" x14ac:dyDescent="0.3">
      <c r="C63" s="236" t="s">
        <v>86</v>
      </c>
      <c r="D63" s="239">
        <v>0</v>
      </c>
      <c r="E63" s="239">
        <v>0</v>
      </c>
      <c r="F63" s="239">
        <v>0</v>
      </c>
      <c r="G63" s="239">
        <v>0</v>
      </c>
    </row>
    <row r="64" spans="3:7" ht="15.75" thickBot="1" x14ac:dyDescent="0.3">
      <c r="C64" s="236" t="s">
        <v>87</v>
      </c>
      <c r="D64" s="239">
        <v>25064</v>
      </c>
      <c r="E64" s="239">
        <v>0</v>
      </c>
      <c r="F64" s="239">
        <v>0</v>
      </c>
      <c r="G64" s="239">
        <v>0</v>
      </c>
    </row>
    <row r="65" spans="3:7" ht="15.75" thickBot="1" x14ac:dyDescent="0.3">
      <c r="C65" s="236" t="s">
        <v>88</v>
      </c>
      <c r="D65" s="240">
        <v>0</v>
      </c>
      <c r="E65" s="239">
        <v>0</v>
      </c>
      <c r="F65" s="239">
        <v>0</v>
      </c>
      <c r="G65" s="239">
        <v>0</v>
      </c>
    </row>
    <row r="66" spans="3:7" ht="15.75" thickBot="1" x14ac:dyDescent="0.3">
      <c r="C66" s="236" t="s">
        <v>89</v>
      </c>
      <c r="D66" s="240">
        <v>0</v>
      </c>
      <c r="E66" s="239">
        <v>0</v>
      </c>
      <c r="F66" s="239">
        <v>0</v>
      </c>
      <c r="G66" s="239">
        <v>0</v>
      </c>
    </row>
    <row r="67" spans="3:7" ht="15.75" thickBot="1" x14ac:dyDescent="0.3">
      <c r="C67" s="236" t="s">
        <v>90</v>
      </c>
      <c r="D67" s="240">
        <v>0</v>
      </c>
      <c r="E67" s="239">
        <v>0</v>
      </c>
      <c r="F67" s="239">
        <v>0</v>
      </c>
      <c r="G67" s="239">
        <v>0</v>
      </c>
    </row>
    <row r="68" spans="3:7" ht="24.75" thickBot="1" x14ac:dyDescent="0.3">
      <c r="C68" s="241" t="s">
        <v>91</v>
      </c>
      <c r="D68" s="240">
        <v>0</v>
      </c>
      <c r="E68" s="239">
        <v>0</v>
      </c>
      <c r="F68" s="239">
        <v>0</v>
      </c>
      <c r="G68" s="239">
        <v>0</v>
      </c>
    </row>
    <row r="69" spans="3:7" ht="15.75" thickBot="1" x14ac:dyDescent="0.3">
      <c r="C69" s="242" t="s">
        <v>99</v>
      </c>
      <c r="D69" s="239">
        <f>D68+D67+D66+D65+D64+D63+D62</f>
        <v>25064</v>
      </c>
      <c r="E69" s="240">
        <f>E68+E67+E66+E65+E64+E63+E62</f>
        <v>0</v>
      </c>
      <c r="F69" s="240">
        <f>F68+F67+F66+F65+F64+F63+F62</f>
        <v>0</v>
      </c>
      <c r="G69" s="240">
        <f>G68+G67+G66+G65+G64+G63+G62</f>
        <v>0</v>
      </c>
    </row>
    <row r="70" spans="3:7" ht="15.75" thickBot="1" x14ac:dyDescent="0.3">
      <c r="C70" s="243" t="s">
        <v>93</v>
      </c>
      <c r="D70" s="239">
        <f>IF(D69-D54=0,0,"Error")</f>
        <v>0</v>
      </c>
      <c r="E70" s="239">
        <f>IF(E69-E54=0,0,"Error")</f>
        <v>0</v>
      </c>
      <c r="F70" s="239">
        <f>IF(F69-F54=0,0,"Error")</f>
        <v>0</v>
      </c>
      <c r="G70" s="239">
        <f>IF(G69-G54=0,0,"Error")</f>
        <v>0</v>
      </c>
    </row>
    <row r="71" spans="3:7" ht="15.75" thickBot="1" x14ac:dyDescent="0.3">
      <c r="C71" s="428" t="s">
        <v>105</v>
      </c>
      <c r="D71" s="429"/>
      <c r="E71" s="429"/>
      <c r="F71" s="429"/>
      <c r="G71" s="430"/>
    </row>
    <row r="72" spans="3:7" ht="15.75" thickBot="1" x14ac:dyDescent="0.3">
      <c r="C72" s="428" t="s">
        <v>106</v>
      </c>
      <c r="D72" s="429"/>
      <c r="E72" s="429"/>
      <c r="F72" s="429"/>
      <c r="G72" s="430"/>
    </row>
    <row r="73" spans="3:7" ht="15.75" thickBot="1" x14ac:dyDescent="0.3">
      <c r="C73" s="86" t="s">
        <v>107</v>
      </c>
      <c r="D73" s="431" t="s">
        <v>256</v>
      </c>
      <c r="E73" s="432"/>
      <c r="F73" s="432"/>
      <c r="G73" s="433"/>
    </row>
    <row r="74" spans="3:7" ht="15.75" customHeight="1" thickBot="1" x14ac:dyDescent="0.3">
      <c r="C74" s="86" t="s">
        <v>100</v>
      </c>
      <c r="D74" s="431" t="s">
        <v>257</v>
      </c>
      <c r="E74" s="432"/>
      <c r="F74" s="432"/>
      <c r="G74" s="433"/>
    </row>
    <row r="75" spans="3:7" ht="15.75" thickBot="1" x14ac:dyDescent="0.3">
      <c r="C75" s="86" t="s">
        <v>73</v>
      </c>
      <c r="D75" s="415" t="s">
        <v>258</v>
      </c>
      <c r="E75" s="416"/>
      <c r="F75" s="416"/>
      <c r="G75" s="417"/>
    </row>
    <row r="76" spans="3:7" ht="15.75" thickBot="1" x14ac:dyDescent="0.3">
      <c r="C76" s="86" t="s">
        <v>75</v>
      </c>
      <c r="D76" s="415" t="s">
        <v>259</v>
      </c>
      <c r="E76" s="416"/>
      <c r="F76" s="416"/>
      <c r="G76" s="417"/>
    </row>
    <row r="77" spans="3:7" x14ac:dyDescent="0.25">
      <c r="C77" s="418"/>
      <c r="D77" s="20">
        <v>2018</v>
      </c>
      <c r="E77" s="20">
        <v>2019</v>
      </c>
      <c r="F77" s="20">
        <v>2020</v>
      </c>
      <c r="G77" s="20">
        <v>2021</v>
      </c>
    </row>
    <row r="78" spans="3:7" ht="15.75" thickBot="1" x14ac:dyDescent="0.3">
      <c r="C78" s="419"/>
      <c r="D78" s="21" t="s">
        <v>42</v>
      </c>
      <c r="E78" s="21" t="s">
        <v>43</v>
      </c>
      <c r="F78" s="21" t="s">
        <v>43</v>
      </c>
      <c r="G78" s="21" t="s">
        <v>43</v>
      </c>
    </row>
    <row r="79" spans="3:7" ht="15.75" thickBot="1" x14ac:dyDescent="0.3">
      <c r="C79" s="231" t="s">
        <v>77</v>
      </c>
      <c r="D79" s="233">
        <f>376+127</f>
        <v>503</v>
      </c>
      <c r="E79" s="233">
        <v>252</v>
      </c>
      <c r="F79" s="233">
        <v>208</v>
      </c>
      <c r="G79" s="233">
        <v>270</v>
      </c>
    </row>
    <row r="80" spans="3:7" ht="15.75" thickBot="1" x14ac:dyDescent="0.3">
      <c r="C80" s="231" t="s">
        <v>78</v>
      </c>
      <c r="D80" s="233">
        <v>88934</v>
      </c>
      <c r="E80" s="233">
        <v>19677</v>
      </c>
      <c r="F80" s="233">
        <v>15000</v>
      </c>
      <c r="G80" s="233">
        <v>20000</v>
      </c>
    </row>
    <row r="81" spans="3:7" ht="15.75" thickBot="1" x14ac:dyDescent="0.3">
      <c r="C81" s="231" t="s">
        <v>79</v>
      </c>
      <c r="D81" s="233">
        <f>D80/D79</f>
        <v>176.80715705765408</v>
      </c>
      <c r="E81" s="233">
        <f t="shared" ref="E81:G81" si="2">E80/E79</f>
        <v>78.083333333333329</v>
      </c>
      <c r="F81" s="233">
        <f t="shared" si="2"/>
        <v>72.115384615384613</v>
      </c>
      <c r="G81" s="233">
        <f t="shared" si="2"/>
        <v>74.074074074074076</v>
      </c>
    </row>
    <row r="82" spans="3:7" ht="15.75" thickBot="1" x14ac:dyDescent="0.3">
      <c r="C82" s="231" t="s">
        <v>80</v>
      </c>
      <c r="D82" s="234" t="s">
        <v>81</v>
      </c>
      <c r="E82" s="235">
        <f>E79/D79-1</f>
        <v>-0.49900596421471177</v>
      </c>
      <c r="F82" s="235">
        <f t="shared" ref="F82:G84" si="3">F79/E79-1</f>
        <v>-0.17460317460317465</v>
      </c>
      <c r="G82" s="235">
        <f t="shared" si="3"/>
        <v>0.29807692307692313</v>
      </c>
    </row>
    <row r="83" spans="3:7" ht="15.75" thickBot="1" x14ac:dyDescent="0.3">
      <c r="C83" s="231" t="s">
        <v>82</v>
      </c>
      <c r="D83" s="234" t="s">
        <v>81</v>
      </c>
      <c r="E83" s="235">
        <f>E80/D80-1</f>
        <v>-0.77874603638653384</v>
      </c>
      <c r="F83" s="235">
        <f t="shared" si="3"/>
        <v>-0.23768867205366673</v>
      </c>
      <c r="G83" s="235">
        <f t="shared" si="3"/>
        <v>0.33333333333333326</v>
      </c>
    </row>
    <row r="84" spans="3:7" ht="15.75" thickBot="1" x14ac:dyDescent="0.3">
      <c r="C84" s="231" t="s">
        <v>83</v>
      </c>
      <c r="D84" s="234" t="s">
        <v>81</v>
      </c>
      <c r="E84" s="235">
        <f>E81/D81-1</f>
        <v>-0.55837006469216877</v>
      </c>
      <c r="F84" s="235">
        <f t="shared" si="3"/>
        <v>-7.6430506526557696E-2</v>
      </c>
      <c r="G84" s="235">
        <f t="shared" si="3"/>
        <v>2.716049382716057E-2</v>
      </c>
    </row>
    <row r="85" spans="3:7" ht="15.75" customHeight="1" thickBot="1" x14ac:dyDescent="0.3">
      <c r="C85" s="392" t="s">
        <v>134</v>
      </c>
      <c r="D85" s="393"/>
      <c r="E85" s="393"/>
      <c r="F85" s="393"/>
      <c r="G85" s="394"/>
    </row>
    <row r="86" spans="3:7" x14ac:dyDescent="0.25">
      <c r="C86" s="418"/>
      <c r="D86" s="20">
        <v>2018</v>
      </c>
      <c r="E86" s="20">
        <v>2019</v>
      </c>
      <c r="F86" s="20">
        <v>2020</v>
      </c>
      <c r="G86" s="20">
        <v>2021</v>
      </c>
    </row>
    <row r="87" spans="3:7" ht="15.75" thickBot="1" x14ac:dyDescent="0.3">
      <c r="C87" s="419"/>
      <c r="D87" s="21" t="s">
        <v>42</v>
      </c>
      <c r="E87" s="21" t="s">
        <v>43</v>
      </c>
      <c r="F87" s="21" t="s">
        <v>43</v>
      </c>
      <c r="G87" s="21" t="s">
        <v>43</v>
      </c>
    </row>
    <row r="88" spans="3:7" ht="15.75" thickBot="1" x14ac:dyDescent="0.3">
      <c r="C88" s="236" t="s">
        <v>170</v>
      </c>
      <c r="D88" s="239">
        <v>0</v>
      </c>
      <c r="E88" s="239">
        <v>0</v>
      </c>
      <c r="F88" s="239">
        <v>0</v>
      </c>
      <c r="G88" s="239">
        <v>0</v>
      </c>
    </row>
    <row r="89" spans="3:7" ht="15.75" thickBot="1" x14ac:dyDescent="0.3">
      <c r="C89" s="236" t="s">
        <v>113</v>
      </c>
      <c r="D89" s="239">
        <v>88934</v>
      </c>
      <c r="E89" s="239">
        <v>19677</v>
      </c>
      <c r="F89" s="239">
        <v>15000</v>
      </c>
      <c r="G89" s="239">
        <v>20000</v>
      </c>
    </row>
    <row r="90" spans="3:7" ht="15.75" thickBot="1" x14ac:dyDescent="0.3">
      <c r="C90" s="241" t="s">
        <v>104</v>
      </c>
      <c r="D90" s="239">
        <f>D89+D88</f>
        <v>88934</v>
      </c>
      <c r="E90" s="239">
        <f t="shared" ref="E90:G90" si="4">E89+E88</f>
        <v>19677</v>
      </c>
      <c r="F90" s="239">
        <f t="shared" si="4"/>
        <v>15000</v>
      </c>
      <c r="G90" s="239">
        <f t="shared" si="4"/>
        <v>20000</v>
      </c>
    </row>
    <row r="91" spans="3:7" ht="15.75" thickBot="1" x14ac:dyDescent="0.3">
      <c r="C91" s="92" t="s">
        <v>260</v>
      </c>
      <c r="D91" s="432" t="s">
        <v>261</v>
      </c>
      <c r="E91" s="432"/>
      <c r="F91" s="432"/>
      <c r="G91" s="433"/>
    </row>
    <row r="92" spans="3:7" ht="15.75" thickBot="1" x14ac:dyDescent="0.3">
      <c r="C92" s="86" t="s">
        <v>116</v>
      </c>
      <c r="D92" s="415" t="s">
        <v>262</v>
      </c>
      <c r="E92" s="416"/>
      <c r="F92" s="416"/>
      <c r="G92" s="417"/>
    </row>
    <row r="93" spans="3:7" ht="15.75" customHeight="1" thickBot="1" x14ac:dyDescent="0.3">
      <c r="C93" s="86" t="s">
        <v>73</v>
      </c>
      <c r="D93" s="434" t="s">
        <v>263</v>
      </c>
      <c r="E93" s="435"/>
      <c r="F93" s="435"/>
      <c r="G93" s="436"/>
    </row>
    <row r="94" spans="3:7" ht="15.75" thickBot="1" x14ac:dyDescent="0.3">
      <c r="C94" s="86" t="s">
        <v>75</v>
      </c>
      <c r="D94" s="415" t="s">
        <v>264</v>
      </c>
      <c r="E94" s="416"/>
      <c r="F94" s="416"/>
      <c r="G94" s="417"/>
    </row>
    <row r="95" spans="3:7" x14ac:dyDescent="0.25">
      <c r="C95" s="418"/>
      <c r="D95" s="20">
        <v>2018</v>
      </c>
      <c r="E95" s="20">
        <v>2019</v>
      </c>
      <c r="F95" s="20">
        <v>2020</v>
      </c>
      <c r="G95" s="20">
        <v>2021</v>
      </c>
    </row>
    <row r="96" spans="3:7" ht="15.75" thickBot="1" x14ac:dyDescent="0.3">
      <c r="C96" s="419"/>
      <c r="D96" s="21" t="s">
        <v>42</v>
      </c>
      <c r="E96" s="21" t="s">
        <v>43</v>
      </c>
      <c r="F96" s="21" t="s">
        <v>43</v>
      </c>
      <c r="G96" s="21" t="s">
        <v>43</v>
      </c>
    </row>
    <row r="97" spans="3:7" ht="15.75" thickBot="1" x14ac:dyDescent="0.3">
      <c r="C97" s="231" t="s">
        <v>77</v>
      </c>
      <c r="D97" s="233">
        <v>820</v>
      </c>
      <c r="E97" s="233">
        <v>0</v>
      </c>
      <c r="F97" s="233">
        <v>188</v>
      </c>
      <c r="G97" s="233">
        <v>500</v>
      </c>
    </row>
    <row r="98" spans="3:7" ht="15.75" thickBot="1" x14ac:dyDescent="0.3">
      <c r="C98" s="231" t="s">
        <v>78</v>
      </c>
      <c r="D98" s="233">
        <v>31085</v>
      </c>
      <c r="E98" s="233">
        <v>0</v>
      </c>
      <c r="F98" s="233">
        <f>6600</f>
        <v>6600</v>
      </c>
      <c r="G98" s="233">
        <f>32515</f>
        <v>32515</v>
      </c>
    </row>
    <row r="99" spans="3:7" ht="15.75" thickBot="1" x14ac:dyDescent="0.3">
      <c r="C99" s="231" t="s">
        <v>79</v>
      </c>
      <c r="D99" s="233">
        <f>D98/D97</f>
        <v>37.908536585365852</v>
      </c>
      <c r="E99" s="233">
        <v>0</v>
      </c>
      <c r="F99" s="233">
        <f t="shared" ref="F99:G99" si="5">F98/F97</f>
        <v>35.106382978723403</v>
      </c>
      <c r="G99" s="233">
        <f t="shared" si="5"/>
        <v>65.03</v>
      </c>
    </row>
    <row r="100" spans="3:7" ht="15.75" thickBot="1" x14ac:dyDescent="0.3">
      <c r="C100" s="231" t="s">
        <v>80</v>
      </c>
      <c r="D100" s="234" t="s">
        <v>81</v>
      </c>
      <c r="E100" s="233">
        <v>0</v>
      </c>
      <c r="F100" s="235">
        <f>F97/D97-1</f>
        <v>-0.77073170731707319</v>
      </c>
      <c r="G100" s="235">
        <f t="shared" ref="G100:G102" si="6">G97/F97-1</f>
        <v>1.6595744680851063</v>
      </c>
    </row>
    <row r="101" spans="3:7" ht="15.75" thickBot="1" x14ac:dyDescent="0.3">
      <c r="C101" s="231" t="s">
        <v>82</v>
      </c>
      <c r="D101" s="234" t="s">
        <v>81</v>
      </c>
      <c r="E101" s="233">
        <v>0</v>
      </c>
      <c r="F101" s="235">
        <f t="shared" ref="F101:F102" si="7">F98/D98-1</f>
        <v>-0.78767894482869549</v>
      </c>
      <c r="G101" s="235">
        <f t="shared" si="6"/>
        <v>3.9265151515151517</v>
      </c>
    </row>
    <row r="102" spans="3:7" ht="15.75" thickBot="1" x14ac:dyDescent="0.3">
      <c r="C102" s="231" t="s">
        <v>83</v>
      </c>
      <c r="D102" s="234" t="s">
        <v>81</v>
      </c>
      <c r="E102" s="233">
        <v>0</v>
      </c>
      <c r="F102" s="235">
        <f t="shared" si="7"/>
        <v>-7.3918801912395304E-2</v>
      </c>
      <c r="G102" s="235">
        <f t="shared" si="6"/>
        <v>0.852369696969697</v>
      </c>
    </row>
    <row r="103" spans="3:7" ht="15.75" customHeight="1" thickBot="1" x14ac:dyDescent="0.3">
      <c r="C103" s="392" t="s">
        <v>135</v>
      </c>
      <c r="D103" s="393"/>
      <c r="E103" s="393"/>
      <c r="F103" s="393"/>
      <c r="G103" s="394"/>
    </row>
    <row r="104" spans="3:7" x14ac:dyDescent="0.25">
      <c r="C104" s="418"/>
      <c r="D104" s="20">
        <v>2018</v>
      </c>
      <c r="E104" s="20">
        <v>2019</v>
      </c>
      <c r="F104" s="20">
        <v>2020</v>
      </c>
      <c r="G104" s="20">
        <v>2021</v>
      </c>
    </row>
    <row r="105" spans="3:7" ht="15.75" thickBot="1" x14ac:dyDescent="0.3">
      <c r="C105" s="419"/>
      <c r="D105" s="21" t="s">
        <v>42</v>
      </c>
      <c r="E105" s="21" t="s">
        <v>43</v>
      </c>
      <c r="F105" s="21" t="s">
        <v>43</v>
      </c>
      <c r="G105" s="21" t="s">
        <v>43</v>
      </c>
    </row>
    <row r="106" spans="3:7" ht="15.75" thickBot="1" x14ac:dyDescent="0.3">
      <c r="C106" s="236" t="s">
        <v>170</v>
      </c>
      <c r="D106" s="239">
        <v>0</v>
      </c>
      <c r="E106" s="239">
        <v>0</v>
      </c>
      <c r="F106" s="239">
        <v>0</v>
      </c>
      <c r="G106" s="239">
        <v>0</v>
      </c>
    </row>
    <row r="107" spans="3:7" ht="15.75" thickBot="1" x14ac:dyDescent="0.3">
      <c r="C107" s="241" t="s">
        <v>113</v>
      </c>
      <c r="D107" s="240">
        <v>31085</v>
      </c>
      <c r="E107" s="239">
        <v>0</v>
      </c>
      <c r="F107" s="239">
        <v>6600</v>
      </c>
      <c r="G107" s="239">
        <v>32515</v>
      </c>
    </row>
    <row r="108" spans="3:7" ht="15.75" thickBot="1" x14ac:dyDescent="0.3">
      <c r="C108" s="245" t="s">
        <v>265</v>
      </c>
      <c r="D108" s="240">
        <f>D107+D106</f>
        <v>31085</v>
      </c>
      <c r="E108" s="240">
        <f t="shared" ref="E108:G108" si="8">E107+E106</f>
        <v>0</v>
      </c>
      <c r="F108" s="240">
        <f t="shared" si="8"/>
        <v>6600</v>
      </c>
      <c r="G108" s="240">
        <f t="shared" si="8"/>
        <v>32515</v>
      </c>
    </row>
    <row r="109" spans="3:7" ht="15.75" thickBot="1" x14ac:dyDescent="0.3">
      <c r="C109" s="86" t="s">
        <v>260</v>
      </c>
      <c r="D109" s="431" t="s">
        <v>266</v>
      </c>
      <c r="E109" s="432"/>
      <c r="F109" s="432"/>
      <c r="G109" s="433"/>
    </row>
    <row r="110" spans="3:7" ht="15.75" thickBot="1" x14ac:dyDescent="0.3">
      <c r="C110" s="86" t="s">
        <v>267</v>
      </c>
      <c r="D110" s="415" t="s">
        <v>266</v>
      </c>
      <c r="E110" s="416"/>
      <c r="F110" s="416"/>
      <c r="G110" s="417"/>
    </row>
    <row r="111" spans="3:7" ht="15.75" customHeight="1" thickBot="1" x14ac:dyDescent="0.3">
      <c r="C111" s="86" t="s">
        <v>73</v>
      </c>
      <c r="D111" s="434" t="s">
        <v>268</v>
      </c>
      <c r="E111" s="435"/>
      <c r="F111" s="435"/>
      <c r="G111" s="436"/>
    </row>
    <row r="112" spans="3:7" ht="15.75" thickBot="1" x14ac:dyDescent="0.3">
      <c r="C112" s="86" t="s">
        <v>75</v>
      </c>
      <c r="D112" s="415" t="s">
        <v>264</v>
      </c>
      <c r="E112" s="416"/>
      <c r="F112" s="416"/>
      <c r="G112" s="417"/>
    </row>
    <row r="113" spans="3:7" x14ac:dyDescent="0.25">
      <c r="C113" s="418"/>
      <c r="D113" s="20">
        <v>2018</v>
      </c>
      <c r="E113" s="20">
        <v>2019</v>
      </c>
      <c r="F113" s="20">
        <v>2020</v>
      </c>
      <c r="G113" s="20">
        <v>2021</v>
      </c>
    </row>
    <row r="114" spans="3:7" ht="15.75" thickBot="1" x14ac:dyDescent="0.3">
      <c r="C114" s="419"/>
      <c r="D114" s="21" t="s">
        <v>42</v>
      </c>
      <c r="E114" s="21" t="s">
        <v>43</v>
      </c>
      <c r="F114" s="21" t="s">
        <v>43</v>
      </c>
      <c r="G114" s="21" t="s">
        <v>43</v>
      </c>
    </row>
    <row r="115" spans="3:7" ht="15.75" thickBot="1" x14ac:dyDescent="0.3">
      <c r="C115" s="231" t="s">
        <v>77</v>
      </c>
      <c r="D115" s="233">
        <v>17</v>
      </c>
      <c r="E115" s="233">
        <v>0</v>
      </c>
      <c r="F115" s="233">
        <v>2</v>
      </c>
      <c r="G115" s="233">
        <v>5</v>
      </c>
    </row>
    <row r="116" spans="3:7" ht="15.75" thickBot="1" x14ac:dyDescent="0.3">
      <c r="C116" s="231" t="s">
        <v>78</v>
      </c>
      <c r="D116" s="233">
        <v>67300</v>
      </c>
      <c r="E116" s="233">
        <v>0</v>
      </c>
      <c r="F116" s="233">
        <v>9600</v>
      </c>
      <c r="G116" s="233">
        <f>3200+8736+3864+2520+6216</f>
        <v>24536</v>
      </c>
    </row>
    <row r="117" spans="3:7" ht="15.75" thickBot="1" x14ac:dyDescent="0.3">
      <c r="C117" s="231" t="s">
        <v>79</v>
      </c>
      <c r="D117" s="233">
        <f>D116/D115</f>
        <v>3958.8235294117649</v>
      </c>
      <c r="E117" s="233">
        <v>0</v>
      </c>
      <c r="F117" s="233">
        <f t="shared" ref="F117:G117" si="9">F116/F115</f>
        <v>4800</v>
      </c>
      <c r="G117" s="233">
        <f t="shared" si="9"/>
        <v>4907.2</v>
      </c>
    </row>
    <row r="118" spans="3:7" ht="15.75" thickBot="1" x14ac:dyDescent="0.3">
      <c r="C118" s="231" t="s">
        <v>80</v>
      </c>
      <c r="D118" s="234" t="s">
        <v>81</v>
      </c>
      <c r="E118" s="233">
        <v>0</v>
      </c>
      <c r="F118" s="235">
        <f>F115/D115-1</f>
        <v>-0.88235294117647056</v>
      </c>
      <c r="G118" s="235">
        <f t="shared" ref="G118:G120" si="10">G115/F115-1</f>
        <v>1.5</v>
      </c>
    </row>
    <row r="119" spans="3:7" ht="15.75" thickBot="1" x14ac:dyDescent="0.3">
      <c r="C119" s="231" t="s">
        <v>82</v>
      </c>
      <c r="D119" s="234" t="s">
        <v>81</v>
      </c>
      <c r="E119" s="233">
        <v>0</v>
      </c>
      <c r="F119" s="235">
        <f t="shared" ref="F119:F120" si="11">F116/D116-1</f>
        <v>-0.85735512630014865</v>
      </c>
      <c r="G119" s="235">
        <f t="shared" si="10"/>
        <v>1.5558333333333332</v>
      </c>
    </row>
    <row r="120" spans="3:7" ht="15.75" thickBot="1" x14ac:dyDescent="0.3">
      <c r="C120" s="231" t="s">
        <v>83</v>
      </c>
      <c r="D120" s="234" t="s">
        <v>81</v>
      </c>
      <c r="E120" s="233">
        <v>0</v>
      </c>
      <c r="F120" s="235">
        <f t="shared" si="11"/>
        <v>0.21248142644873691</v>
      </c>
      <c r="G120" s="235">
        <f t="shared" si="10"/>
        <v>2.2333333333333316E-2</v>
      </c>
    </row>
    <row r="121" spans="3:7" ht="15.75" customHeight="1" thickBot="1" x14ac:dyDescent="0.3">
      <c r="C121" s="392" t="s">
        <v>269</v>
      </c>
      <c r="D121" s="393"/>
      <c r="E121" s="393"/>
      <c r="F121" s="393"/>
      <c r="G121" s="394"/>
    </row>
    <row r="122" spans="3:7" x14ac:dyDescent="0.25">
      <c r="C122" s="418"/>
      <c r="D122" s="20">
        <v>2018</v>
      </c>
      <c r="E122" s="20">
        <v>2019</v>
      </c>
      <c r="F122" s="20">
        <v>2020</v>
      </c>
      <c r="G122" s="20">
        <v>2021</v>
      </c>
    </row>
    <row r="123" spans="3:7" ht="15.75" thickBot="1" x14ac:dyDescent="0.3">
      <c r="C123" s="419"/>
      <c r="D123" s="21" t="s">
        <v>42</v>
      </c>
      <c r="E123" s="21" t="s">
        <v>43</v>
      </c>
      <c r="F123" s="21" t="s">
        <v>43</v>
      </c>
      <c r="G123" s="21" t="s">
        <v>43</v>
      </c>
    </row>
    <row r="124" spans="3:7" ht="15.75" thickBot="1" x14ac:dyDescent="0.3">
      <c r="C124" s="236" t="s">
        <v>170</v>
      </c>
      <c r="D124" s="239">
        <v>0</v>
      </c>
      <c r="E124" s="239">
        <v>0</v>
      </c>
      <c r="F124" s="239">
        <v>0</v>
      </c>
      <c r="G124" s="239">
        <v>0</v>
      </c>
    </row>
    <row r="125" spans="3:7" ht="15.75" thickBot="1" x14ac:dyDescent="0.3">
      <c r="C125" s="236" t="s">
        <v>113</v>
      </c>
      <c r="D125" s="240">
        <v>67300</v>
      </c>
      <c r="E125" s="239">
        <v>0</v>
      </c>
      <c r="F125" s="239">
        <v>9600</v>
      </c>
      <c r="G125" s="239">
        <v>24536</v>
      </c>
    </row>
    <row r="126" spans="3:7" ht="15.75" thickBot="1" x14ac:dyDescent="0.3">
      <c r="C126" s="238" t="s">
        <v>270</v>
      </c>
      <c r="D126" s="240">
        <f>D125+D124</f>
        <v>67300</v>
      </c>
      <c r="E126" s="240">
        <f t="shared" ref="E126:G126" si="12">E125+E124</f>
        <v>0</v>
      </c>
      <c r="F126" s="240">
        <f t="shared" si="12"/>
        <v>9600</v>
      </c>
      <c r="G126" s="240">
        <f t="shared" si="12"/>
        <v>24536</v>
      </c>
    </row>
    <row r="127" spans="3:7" ht="15.75" thickBot="1" x14ac:dyDescent="0.3">
      <c r="C127" s="428" t="s">
        <v>105</v>
      </c>
      <c r="D127" s="429"/>
      <c r="E127" s="429"/>
      <c r="F127" s="429"/>
      <c r="G127" s="430"/>
    </row>
    <row r="128" spans="3:7" ht="15.75" thickBot="1" x14ac:dyDescent="0.3">
      <c r="C128" s="428" t="s">
        <v>171</v>
      </c>
      <c r="D128" s="429"/>
      <c r="E128" s="429"/>
      <c r="F128" s="429"/>
      <c r="G128" s="430"/>
    </row>
    <row r="129" spans="3:7" ht="15.75" customHeight="1" thickBot="1" x14ac:dyDescent="0.3">
      <c r="C129" s="86" t="s">
        <v>260</v>
      </c>
      <c r="D129" s="437" t="s">
        <v>271</v>
      </c>
      <c r="E129" s="438"/>
      <c r="F129" s="438"/>
      <c r="G129" s="439"/>
    </row>
    <row r="130" spans="3:7" ht="15.75" thickBot="1" x14ac:dyDescent="0.3">
      <c r="C130" s="86" t="s">
        <v>272</v>
      </c>
      <c r="D130" s="415" t="s">
        <v>273</v>
      </c>
      <c r="E130" s="416"/>
      <c r="F130" s="416"/>
      <c r="G130" s="417"/>
    </row>
    <row r="131" spans="3:7" ht="15.75" thickBot="1" x14ac:dyDescent="0.3">
      <c r="C131" s="86" t="s">
        <v>73</v>
      </c>
      <c r="D131" s="415" t="s">
        <v>273</v>
      </c>
      <c r="E131" s="416"/>
      <c r="F131" s="416"/>
      <c r="G131" s="417"/>
    </row>
    <row r="132" spans="3:7" ht="15.75" thickBot="1" x14ac:dyDescent="0.3">
      <c r="C132" s="86" t="s">
        <v>75</v>
      </c>
      <c r="D132" s="415" t="s">
        <v>274</v>
      </c>
      <c r="E132" s="416"/>
      <c r="F132" s="416"/>
      <c r="G132" s="417"/>
    </row>
    <row r="133" spans="3:7" x14ac:dyDescent="0.25">
      <c r="C133" s="418"/>
      <c r="D133" s="20">
        <v>2018</v>
      </c>
      <c r="E133" s="20">
        <v>2019</v>
      </c>
      <c r="F133" s="20">
        <v>2020</v>
      </c>
      <c r="G133" s="20">
        <v>2021</v>
      </c>
    </row>
    <row r="134" spans="3:7" ht="15.75" thickBot="1" x14ac:dyDescent="0.3">
      <c r="C134" s="419"/>
      <c r="D134" s="21" t="s">
        <v>42</v>
      </c>
      <c r="E134" s="21" t="s">
        <v>43</v>
      </c>
      <c r="F134" s="21" t="s">
        <v>43</v>
      </c>
      <c r="G134" s="21" t="s">
        <v>43</v>
      </c>
    </row>
    <row r="135" spans="3:7" ht="15.75" thickBot="1" x14ac:dyDescent="0.3">
      <c r="C135" s="231" t="s">
        <v>77</v>
      </c>
      <c r="D135" s="233">
        <v>460</v>
      </c>
      <c r="E135" s="233">
        <v>0</v>
      </c>
      <c r="F135" s="233">
        <v>2535</v>
      </c>
      <c r="G135" s="233">
        <v>0</v>
      </c>
    </row>
    <row r="136" spans="3:7" ht="15.75" thickBot="1" x14ac:dyDescent="0.3">
      <c r="C136" s="231" t="s">
        <v>78</v>
      </c>
      <c r="D136" s="233">
        <v>26904</v>
      </c>
      <c r="E136" s="233">
        <v>0</v>
      </c>
      <c r="F136" s="233">
        <f>8000+24000+31217+20570+25000+69823</f>
        <v>178610</v>
      </c>
      <c r="G136" s="233">
        <v>0</v>
      </c>
    </row>
    <row r="137" spans="3:7" ht="15.75" thickBot="1" x14ac:dyDescent="0.3">
      <c r="C137" s="231" t="s">
        <v>79</v>
      </c>
      <c r="D137" s="233">
        <f>D136/D135</f>
        <v>58.486956521739131</v>
      </c>
      <c r="E137" s="233">
        <v>0</v>
      </c>
      <c r="F137" s="233">
        <f t="shared" ref="F137" si="13">F136/F135</f>
        <v>70.45759368836292</v>
      </c>
      <c r="G137" s="233">
        <v>0</v>
      </c>
    </row>
    <row r="138" spans="3:7" ht="15.75" thickBot="1" x14ac:dyDescent="0.3">
      <c r="C138" s="231" t="s">
        <v>80</v>
      </c>
      <c r="D138" s="234" t="s">
        <v>81</v>
      </c>
      <c r="E138" s="235">
        <f>E135/D135-1</f>
        <v>-1</v>
      </c>
      <c r="F138" s="235">
        <f>F135/D135-1</f>
        <v>4.5108695652173916</v>
      </c>
      <c r="G138" s="233">
        <v>0</v>
      </c>
    </row>
    <row r="139" spans="3:7" ht="15.75" thickBot="1" x14ac:dyDescent="0.3">
      <c r="C139" s="231" t="s">
        <v>82</v>
      </c>
      <c r="D139" s="234" t="s">
        <v>81</v>
      </c>
      <c r="E139" s="235">
        <f>E136/D136-1</f>
        <v>-1</v>
      </c>
      <c r="F139" s="235">
        <f t="shared" ref="F139:F140" si="14">F136/D136-1</f>
        <v>5.6387897710377635</v>
      </c>
      <c r="G139" s="233">
        <v>0</v>
      </c>
    </row>
    <row r="140" spans="3:7" ht="15.75" thickBot="1" x14ac:dyDescent="0.3">
      <c r="C140" s="231" t="s">
        <v>83</v>
      </c>
      <c r="D140" s="234" t="s">
        <v>81</v>
      </c>
      <c r="E140" s="235">
        <f>E137/D137-1</f>
        <v>-1</v>
      </c>
      <c r="F140" s="235">
        <f t="shared" si="14"/>
        <v>0.20467191111533389</v>
      </c>
      <c r="G140" s="233">
        <v>0</v>
      </c>
    </row>
    <row r="141" spans="3:7" ht="15.75" customHeight="1" thickBot="1" x14ac:dyDescent="0.3">
      <c r="C141" s="392" t="s">
        <v>275</v>
      </c>
      <c r="D141" s="393"/>
      <c r="E141" s="393"/>
      <c r="F141" s="393"/>
      <c r="G141" s="394"/>
    </row>
    <row r="142" spans="3:7" x14ac:dyDescent="0.25">
      <c r="C142" s="418"/>
      <c r="D142" s="20">
        <v>2018</v>
      </c>
      <c r="E142" s="20">
        <v>2019</v>
      </c>
      <c r="F142" s="20">
        <v>2020</v>
      </c>
      <c r="G142" s="20">
        <v>2021</v>
      </c>
    </row>
    <row r="143" spans="3:7" ht="15.75" thickBot="1" x14ac:dyDescent="0.3">
      <c r="C143" s="419"/>
      <c r="D143" s="21" t="s">
        <v>42</v>
      </c>
      <c r="E143" s="21" t="s">
        <v>43</v>
      </c>
      <c r="F143" s="21" t="s">
        <v>43</v>
      </c>
      <c r="G143" s="21" t="s">
        <v>43</v>
      </c>
    </row>
    <row r="144" spans="3:7" ht="15.75" thickBot="1" x14ac:dyDescent="0.3">
      <c r="C144" s="236" t="s">
        <v>170</v>
      </c>
      <c r="D144" s="239"/>
      <c r="E144" s="239">
        <v>0</v>
      </c>
      <c r="F144" s="239">
        <v>0</v>
      </c>
      <c r="G144" s="239">
        <v>0</v>
      </c>
    </row>
    <row r="145" spans="3:7" ht="15.75" thickBot="1" x14ac:dyDescent="0.3">
      <c r="C145" s="236" t="s">
        <v>113</v>
      </c>
      <c r="D145" s="240">
        <v>26904</v>
      </c>
      <c r="E145" s="239">
        <v>0</v>
      </c>
      <c r="F145" s="239">
        <v>178610</v>
      </c>
      <c r="G145" s="239">
        <v>0</v>
      </c>
    </row>
    <row r="146" spans="3:7" ht="15.75" thickBot="1" x14ac:dyDescent="0.3">
      <c r="C146" s="238" t="s">
        <v>276</v>
      </c>
      <c r="D146" s="240">
        <f>D145+D144</f>
        <v>26904</v>
      </c>
      <c r="E146" s="240">
        <f t="shared" ref="E146:G146" si="15">E145+E144</f>
        <v>0</v>
      </c>
      <c r="F146" s="240">
        <f t="shared" si="15"/>
        <v>178610</v>
      </c>
      <c r="G146" s="240">
        <f t="shared" si="15"/>
        <v>0</v>
      </c>
    </row>
    <row r="147" spans="3:7" ht="15.75" thickBot="1" x14ac:dyDescent="0.3">
      <c r="C147" s="94" t="s">
        <v>260</v>
      </c>
      <c r="D147" s="431" t="s">
        <v>256</v>
      </c>
      <c r="E147" s="432"/>
      <c r="F147" s="432"/>
      <c r="G147" s="433"/>
    </row>
    <row r="148" spans="3:7" ht="15.75" customHeight="1" thickBot="1" x14ac:dyDescent="0.3">
      <c r="C148" s="86" t="s">
        <v>277</v>
      </c>
      <c r="D148" s="415" t="s">
        <v>278</v>
      </c>
      <c r="E148" s="416"/>
      <c r="F148" s="416"/>
      <c r="G148" s="417"/>
    </row>
    <row r="149" spans="3:7" ht="26.25" customHeight="1" thickBot="1" x14ac:dyDescent="0.3">
      <c r="C149" s="86" t="s">
        <v>73</v>
      </c>
      <c r="D149" s="434" t="s">
        <v>279</v>
      </c>
      <c r="E149" s="435"/>
      <c r="F149" s="435"/>
      <c r="G149" s="436"/>
    </row>
    <row r="150" spans="3:7" ht="15.75" thickBot="1" x14ac:dyDescent="0.3">
      <c r="C150" s="86" t="s">
        <v>75</v>
      </c>
      <c r="D150" s="415" t="s">
        <v>280</v>
      </c>
      <c r="E150" s="416"/>
      <c r="F150" s="416"/>
      <c r="G150" s="417"/>
    </row>
    <row r="151" spans="3:7" x14ac:dyDescent="0.25">
      <c r="C151" s="418"/>
      <c r="D151" s="20">
        <v>2018</v>
      </c>
      <c r="E151" s="20">
        <v>2019</v>
      </c>
      <c r="F151" s="20">
        <v>2020</v>
      </c>
      <c r="G151" s="20">
        <v>2021</v>
      </c>
    </row>
    <row r="152" spans="3:7" ht="15.75" thickBot="1" x14ac:dyDescent="0.3">
      <c r="C152" s="419"/>
      <c r="D152" s="21" t="s">
        <v>42</v>
      </c>
      <c r="E152" s="21" t="s">
        <v>43</v>
      </c>
      <c r="F152" s="21" t="s">
        <v>43</v>
      </c>
      <c r="G152" s="21" t="s">
        <v>43</v>
      </c>
    </row>
    <row r="153" spans="3:7" ht="15.75" thickBot="1" x14ac:dyDescent="0.3">
      <c r="C153" s="231" t="s">
        <v>77</v>
      </c>
      <c r="D153" s="233">
        <v>1</v>
      </c>
      <c r="E153" s="233">
        <v>1</v>
      </c>
      <c r="F153" s="233">
        <v>0</v>
      </c>
      <c r="G153" s="233">
        <v>0</v>
      </c>
    </row>
    <row r="154" spans="3:7" ht="15.75" thickBot="1" x14ac:dyDescent="0.3">
      <c r="C154" s="231" t="s">
        <v>78</v>
      </c>
      <c r="D154" s="233">
        <v>20650</v>
      </c>
      <c r="E154" s="233">
        <v>247550</v>
      </c>
      <c r="F154" s="233">
        <v>0</v>
      </c>
      <c r="G154" s="233">
        <v>0</v>
      </c>
    </row>
    <row r="155" spans="3:7" ht="15.75" thickBot="1" x14ac:dyDescent="0.3">
      <c r="C155" s="231" t="s">
        <v>79</v>
      </c>
      <c r="D155" s="233">
        <f>D154/D153</f>
        <v>20650</v>
      </c>
      <c r="E155" s="233">
        <f t="shared" ref="E155" si="16">E154/E153</f>
        <v>247550</v>
      </c>
      <c r="F155" s="233">
        <v>0</v>
      </c>
      <c r="G155" s="233">
        <v>0</v>
      </c>
    </row>
    <row r="156" spans="3:7" ht="15.75" thickBot="1" x14ac:dyDescent="0.3">
      <c r="C156" s="231" t="s">
        <v>80</v>
      </c>
      <c r="D156" s="234" t="s">
        <v>81</v>
      </c>
      <c r="E156" s="235">
        <f>E153/D153-1</f>
        <v>0</v>
      </c>
      <c r="F156" s="233">
        <v>0</v>
      </c>
      <c r="G156" s="233">
        <v>0</v>
      </c>
    </row>
    <row r="157" spans="3:7" ht="15.75" thickBot="1" x14ac:dyDescent="0.3">
      <c r="C157" s="231" t="s">
        <v>82</v>
      </c>
      <c r="D157" s="234" t="s">
        <v>81</v>
      </c>
      <c r="E157" s="235">
        <f>E154/D154-1</f>
        <v>10.987893462469733</v>
      </c>
      <c r="F157" s="233">
        <v>0</v>
      </c>
      <c r="G157" s="233">
        <v>0</v>
      </c>
    </row>
    <row r="158" spans="3:7" ht="15.75" thickBot="1" x14ac:dyDescent="0.3">
      <c r="C158" s="231" t="s">
        <v>83</v>
      </c>
      <c r="D158" s="234" t="s">
        <v>81</v>
      </c>
      <c r="E158" s="235">
        <f>E155/D155-1</f>
        <v>10.987893462469733</v>
      </c>
      <c r="F158" s="233">
        <v>0</v>
      </c>
      <c r="G158" s="233">
        <v>0</v>
      </c>
    </row>
    <row r="159" spans="3:7" ht="15.75" customHeight="1" thickBot="1" x14ac:dyDescent="0.3">
      <c r="C159" s="392" t="s">
        <v>281</v>
      </c>
      <c r="D159" s="393"/>
      <c r="E159" s="393"/>
      <c r="F159" s="393"/>
      <c r="G159" s="394"/>
    </row>
    <row r="160" spans="3:7" x14ac:dyDescent="0.25">
      <c r="C160" s="418"/>
      <c r="D160" s="20">
        <v>2018</v>
      </c>
      <c r="E160" s="20">
        <v>2019</v>
      </c>
      <c r="F160" s="20">
        <v>2020</v>
      </c>
      <c r="G160" s="20">
        <v>2021</v>
      </c>
    </row>
    <row r="161" spans="3:7" ht="15.75" thickBot="1" x14ac:dyDescent="0.3">
      <c r="C161" s="419"/>
      <c r="D161" s="21" t="s">
        <v>42</v>
      </c>
      <c r="E161" s="21" t="s">
        <v>43</v>
      </c>
      <c r="F161" s="21" t="s">
        <v>43</v>
      </c>
      <c r="G161" s="21" t="s">
        <v>43</v>
      </c>
    </row>
    <row r="162" spans="3:7" ht="15.75" thickBot="1" x14ac:dyDescent="0.3">
      <c r="C162" s="236" t="s">
        <v>170</v>
      </c>
      <c r="D162" s="239">
        <v>20650</v>
      </c>
      <c r="E162" s="239">
        <v>247550</v>
      </c>
      <c r="F162" s="239">
        <v>0</v>
      </c>
      <c r="G162" s="239">
        <v>0</v>
      </c>
    </row>
    <row r="163" spans="3:7" ht="15.75" thickBot="1" x14ac:dyDescent="0.3">
      <c r="C163" s="236" t="s">
        <v>113</v>
      </c>
      <c r="D163" s="240">
        <v>0</v>
      </c>
      <c r="E163" s="239">
        <v>0</v>
      </c>
      <c r="F163" s="239">
        <v>0</v>
      </c>
      <c r="G163" s="239">
        <v>0</v>
      </c>
    </row>
    <row r="164" spans="3:7" ht="15.75" thickBot="1" x14ac:dyDescent="0.3">
      <c r="C164" s="238" t="s">
        <v>282</v>
      </c>
      <c r="D164" s="239">
        <f>D163+D162</f>
        <v>20650</v>
      </c>
      <c r="E164" s="239">
        <f t="shared" ref="E164:G164" si="17">E163+E162</f>
        <v>247550</v>
      </c>
      <c r="F164" s="239">
        <f t="shared" si="17"/>
        <v>0</v>
      </c>
      <c r="G164" s="239">
        <f t="shared" si="17"/>
        <v>0</v>
      </c>
    </row>
    <row r="165" spans="3:7" ht="15.75" thickBot="1" x14ac:dyDescent="0.3">
      <c r="C165" s="94" t="s">
        <v>260</v>
      </c>
      <c r="D165" s="431" t="s">
        <v>256</v>
      </c>
      <c r="E165" s="432"/>
      <c r="F165" s="432"/>
      <c r="G165" s="433"/>
    </row>
    <row r="166" spans="3:7" ht="15.75" thickBot="1" x14ac:dyDescent="0.3">
      <c r="C166" s="86" t="s">
        <v>283</v>
      </c>
      <c r="D166" s="415" t="s">
        <v>284</v>
      </c>
      <c r="E166" s="416"/>
      <c r="F166" s="416"/>
      <c r="G166" s="417"/>
    </row>
    <row r="167" spans="3:7" ht="23.25" customHeight="1" thickBot="1" x14ac:dyDescent="0.3">
      <c r="C167" s="86" t="s">
        <v>73</v>
      </c>
      <c r="D167" s="434" t="s">
        <v>285</v>
      </c>
      <c r="E167" s="435"/>
      <c r="F167" s="435"/>
      <c r="G167" s="436"/>
    </row>
    <row r="168" spans="3:7" ht="15.75" thickBot="1" x14ac:dyDescent="0.3">
      <c r="C168" s="86" t="s">
        <v>75</v>
      </c>
      <c r="D168" s="415" t="s">
        <v>259</v>
      </c>
      <c r="E168" s="416"/>
      <c r="F168" s="416"/>
      <c r="G168" s="417"/>
    </row>
    <row r="169" spans="3:7" x14ac:dyDescent="0.25">
      <c r="C169" s="418"/>
      <c r="D169" s="20">
        <v>2018</v>
      </c>
      <c r="E169" s="20">
        <v>2019</v>
      </c>
      <c r="F169" s="20">
        <v>2020</v>
      </c>
      <c r="G169" s="20">
        <v>2021</v>
      </c>
    </row>
    <row r="170" spans="3:7" ht="15.75" thickBot="1" x14ac:dyDescent="0.3">
      <c r="C170" s="419"/>
      <c r="D170" s="21" t="s">
        <v>42</v>
      </c>
      <c r="E170" s="21" t="s">
        <v>43</v>
      </c>
      <c r="F170" s="21" t="s">
        <v>43</v>
      </c>
      <c r="G170" s="21" t="s">
        <v>43</v>
      </c>
    </row>
    <row r="171" spans="3:7" ht="15.75" thickBot="1" x14ac:dyDescent="0.3">
      <c r="C171" s="231" t="s">
        <v>77</v>
      </c>
      <c r="D171" s="233">
        <v>2</v>
      </c>
      <c r="E171" s="233">
        <v>2</v>
      </c>
      <c r="F171" s="233">
        <v>0</v>
      </c>
      <c r="G171" s="233">
        <v>0</v>
      </c>
    </row>
    <row r="172" spans="3:7" ht="15.75" thickBot="1" x14ac:dyDescent="0.3">
      <c r="C172" s="231" t="s">
        <v>78</v>
      </c>
      <c r="D172" s="233">
        <v>20000</v>
      </c>
      <c r="E172" s="233">
        <v>15000</v>
      </c>
      <c r="F172" s="233">
        <v>0</v>
      </c>
      <c r="G172" s="233">
        <v>0</v>
      </c>
    </row>
    <row r="173" spans="3:7" ht="15.75" thickBot="1" x14ac:dyDescent="0.3">
      <c r="C173" s="231" t="s">
        <v>79</v>
      </c>
      <c r="D173" s="233">
        <f>D172/D171</f>
        <v>10000</v>
      </c>
      <c r="E173" s="233">
        <f t="shared" ref="E173" si="18">E172/E171</f>
        <v>7500</v>
      </c>
      <c r="F173" s="233">
        <v>0</v>
      </c>
      <c r="G173" s="233">
        <v>0</v>
      </c>
    </row>
    <row r="174" spans="3:7" ht="15.75" thickBot="1" x14ac:dyDescent="0.3">
      <c r="C174" s="231" t="s">
        <v>80</v>
      </c>
      <c r="D174" s="234" t="s">
        <v>81</v>
      </c>
      <c r="E174" s="235">
        <f>E171/D171-1</f>
        <v>0</v>
      </c>
      <c r="F174" s="233">
        <v>0</v>
      </c>
      <c r="G174" s="233">
        <v>0</v>
      </c>
    </row>
    <row r="175" spans="3:7" ht="15.75" thickBot="1" x14ac:dyDescent="0.3">
      <c r="C175" s="231" t="s">
        <v>82</v>
      </c>
      <c r="D175" s="234" t="s">
        <v>81</v>
      </c>
      <c r="E175" s="235">
        <f>E172/D172-1</f>
        <v>-0.25</v>
      </c>
      <c r="F175" s="233">
        <v>0</v>
      </c>
      <c r="G175" s="233">
        <v>0</v>
      </c>
    </row>
    <row r="176" spans="3:7" ht="15.75" thickBot="1" x14ac:dyDescent="0.3">
      <c r="C176" s="231" t="s">
        <v>83</v>
      </c>
      <c r="D176" s="234" t="s">
        <v>81</v>
      </c>
      <c r="E176" s="235">
        <f>E173/D173-1</f>
        <v>-0.25</v>
      </c>
      <c r="F176" s="233">
        <v>0</v>
      </c>
      <c r="G176" s="233">
        <v>0</v>
      </c>
    </row>
    <row r="177" spans="3:7" ht="15.75" customHeight="1" thickBot="1" x14ac:dyDescent="0.3">
      <c r="C177" s="392" t="s">
        <v>286</v>
      </c>
      <c r="D177" s="393"/>
      <c r="E177" s="393"/>
      <c r="F177" s="393"/>
      <c r="G177" s="394"/>
    </row>
    <row r="178" spans="3:7" x14ac:dyDescent="0.25">
      <c r="C178" s="418"/>
      <c r="D178" s="20">
        <v>2018</v>
      </c>
      <c r="E178" s="20">
        <v>2019</v>
      </c>
      <c r="F178" s="20">
        <v>2020</v>
      </c>
      <c r="G178" s="20">
        <v>2021</v>
      </c>
    </row>
    <row r="179" spans="3:7" ht="15.75" thickBot="1" x14ac:dyDescent="0.3">
      <c r="C179" s="419"/>
      <c r="D179" s="21" t="s">
        <v>42</v>
      </c>
      <c r="E179" s="21" t="s">
        <v>43</v>
      </c>
      <c r="F179" s="21" t="s">
        <v>43</v>
      </c>
      <c r="G179" s="21" t="s">
        <v>43</v>
      </c>
    </row>
    <row r="180" spans="3:7" ht="15.75" thickBot="1" x14ac:dyDescent="0.3">
      <c r="C180" s="236" t="s">
        <v>170</v>
      </c>
      <c r="D180" s="239">
        <v>20000</v>
      </c>
      <c r="E180" s="239">
        <v>15000</v>
      </c>
      <c r="F180" s="239">
        <v>0</v>
      </c>
      <c r="G180" s="239">
        <v>0</v>
      </c>
    </row>
    <row r="181" spans="3:7" ht="15.75" thickBot="1" x14ac:dyDescent="0.3">
      <c r="C181" s="236" t="s">
        <v>113</v>
      </c>
      <c r="D181" s="240">
        <v>0</v>
      </c>
      <c r="E181" s="239">
        <v>0</v>
      </c>
      <c r="F181" s="239">
        <v>0</v>
      </c>
      <c r="G181" s="239">
        <v>0</v>
      </c>
    </row>
    <row r="182" spans="3:7" ht="15.75" thickBot="1" x14ac:dyDescent="0.3">
      <c r="C182" s="238" t="s">
        <v>287</v>
      </c>
      <c r="D182" s="240">
        <f>D181+D180</f>
        <v>20000</v>
      </c>
      <c r="E182" s="240">
        <f t="shared" ref="E182:G182" si="19">E181+E180</f>
        <v>15000</v>
      </c>
      <c r="F182" s="240">
        <f t="shared" si="19"/>
        <v>0</v>
      </c>
      <c r="G182" s="240">
        <f t="shared" si="19"/>
        <v>0</v>
      </c>
    </row>
    <row r="183" spans="3:7" ht="15.75" thickBot="1" x14ac:dyDescent="0.3">
      <c r="C183" s="94" t="s">
        <v>260</v>
      </c>
      <c r="D183" s="415" t="s">
        <v>288</v>
      </c>
      <c r="E183" s="416"/>
      <c r="F183" s="416"/>
      <c r="G183" s="417"/>
    </row>
    <row r="184" spans="3:7" ht="15.75" thickBot="1" x14ac:dyDescent="0.3">
      <c r="C184" s="86" t="s">
        <v>289</v>
      </c>
      <c r="D184" s="415" t="s">
        <v>290</v>
      </c>
      <c r="E184" s="416"/>
      <c r="F184" s="416"/>
      <c r="G184" s="417"/>
    </row>
    <row r="185" spans="3:7" ht="26.25" customHeight="1" thickBot="1" x14ac:dyDescent="0.3">
      <c r="C185" s="86" t="s">
        <v>73</v>
      </c>
      <c r="D185" s="434" t="s">
        <v>291</v>
      </c>
      <c r="E185" s="435"/>
      <c r="F185" s="435"/>
      <c r="G185" s="436"/>
    </row>
    <row r="186" spans="3:7" ht="15.75" thickBot="1" x14ac:dyDescent="0.3">
      <c r="C186" s="86" t="s">
        <v>75</v>
      </c>
      <c r="D186" s="415" t="s">
        <v>259</v>
      </c>
      <c r="E186" s="416"/>
      <c r="F186" s="416"/>
      <c r="G186" s="417"/>
    </row>
    <row r="187" spans="3:7" x14ac:dyDescent="0.25">
      <c r="C187" s="418"/>
      <c r="D187" s="20">
        <v>2018</v>
      </c>
      <c r="E187" s="20">
        <v>2019</v>
      </c>
      <c r="F187" s="20">
        <v>2020</v>
      </c>
      <c r="G187" s="20">
        <v>2021</v>
      </c>
    </row>
    <row r="188" spans="3:7" ht="15.75" thickBot="1" x14ac:dyDescent="0.3">
      <c r="C188" s="419"/>
      <c r="D188" s="21" t="s">
        <v>42</v>
      </c>
      <c r="E188" s="21" t="s">
        <v>43</v>
      </c>
      <c r="F188" s="21" t="s">
        <v>43</v>
      </c>
      <c r="G188" s="21" t="s">
        <v>43</v>
      </c>
    </row>
    <row r="189" spans="3:7" ht="15.75" thickBot="1" x14ac:dyDescent="0.3">
      <c r="C189" s="231" t="s">
        <v>77</v>
      </c>
      <c r="D189" s="233">
        <v>2</v>
      </c>
      <c r="E189" s="233">
        <v>0</v>
      </c>
      <c r="F189" s="233">
        <v>0</v>
      </c>
      <c r="G189" s="233">
        <v>0</v>
      </c>
    </row>
    <row r="190" spans="3:7" ht="15.75" thickBot="1" x14ac:dyDescent="0.3">
      <c r="C190" s="231" t="s">
        <v>78</v>
      </c>
      <c r="D190" s="233">
        <v>148527</v>
      </c>
      <c r="E190" s="233">
        <v>0</v>
      </c>
      <c r="F190" s="233">
        <v>0</v>
      </c>
      <c r="G190" s="233">
        <v>0</v>
      </c>
    </row>
    <row r="191" spans="3:7" ht="15.75" thickBot="1" x14ac:dyDescent="0.3">
      <c r="C191" s="231" t="s">
        <v>79</v>
      </c>
      <c r="D191" s="233">
        <f>D190/D189</f>
        <v>74263.5</v>
      </c>
      <c r="E191" s="233">
        <v>0</v>
      </c>
      <c r="F191" s="233">
        <v>0</v>
      </c>
      <c r="G191" s="233">
        <v>0</v>
      </c>
    </row>
    <row r="192" spans="3:7" ht="15.75" thickBot="1" x14ac:dyDescent="0.3">
      <c r="C192" s="231" t="s">
        <v>80</v>
      </c>
      <c r="D192" s="234" t="s">
        <v>81</v>
      </c>
      <c r="E192" s="233">
        <v>0</v>
      </c>
      <c r="F192" s="233">
        <v>0</v>
      </c>
      <c r="G192" s="233">
        <v>0</v>
      </c>
    </row>
    <row r="193" spans="3:7" ht="15.75" thickBot="1" x14ac:dyDescent="0.3">
      <c r="C193" s="231" t="s">
        <v>82</v>
      </c>
      <c r="D193" s="234" t="s">
        <v>81</v>
      </c>
      <c r="E193" s="233">
        <v>0</v>
      </c>
      <c r="F193" s="233">
        <v>0</v>
      </c>
      <c r="G193" s="233">
        <v>0</v>
      </c>
    </row>
    <row r="194" spans="3:7" ht="15.75" thickBot="1" x14ac:dyDescent="0.3">
      <c r="C194" s="231" t="s">
        <v>83</v>
      </c>
      <c r="D194" s="234" t="s">
        <v>81</v>
      </c>
      <c r="E194" s="233">
        <v>0</v>
      </c>
      <c r="F194" s="233">
        <v>0</v>
      </c>
      <c r="G194" s="233">
        <v>0</v>
      </c>
    </row>
    <row r="195" spans="3:7" ht="15.75" customHeight="1" thickBot="1" x14ac:dyDescent="0.3">
      <c r="C195" s="392" t="s">
        <v>292</v>
      </c>
      <c r="D195" s="393"/>
      <c r="E195" s="393"/>
      <c r="F195" s="393"/>
      <c r="G195" s="394"/>
    </row>
    <row r="196" spans="3:7" x14ac:dyDescent="0.25">
      <c r="C196" s="418"/>
      <c r="D196" s="20">
        <v>2018</v>
      </c>
      <c r="E196" s="20">
        <v>2019</v>
      </c>
      <c r="F196" s="20">
        <v>2020</v>
      </c>
      <c r="G196" s="20">
        <v>2021</v>
      </c>
    </row>
    <row r="197" spans="3:7" ht="15.75" thickBot="1" x14ac:dyDescent="0.3">
      <c r="C197" s="419"/>
      <c r="D197" s="21" t="s">
        <v>42</v>
      </c>
      <c r="E197" s="21" t="s">
        <v>43</v>
      </c>
      <c r="F197" s="21" t="s">
        <v>43</v>
      </c>
      <c r="G197" s="21" t="s">
        <v>43</v>
      </c>
    </row>
    <row r="198" spans="3:7" ht="15.75" thickBot="1" x14ac:dyDescent="0.3">
      <c r="C198" s="236" t="s">
        <v>170</v>
      </c>
      <c r="D198" s="239">
        <v>0</v>
      </c>
      <c r="E198" s="239">
        <v>0</v>
      </c>
      <c r="F198" s="239">
        <v>0</v>
      </c>
      <c r="G198" s="239">
        <v>0</v>
      </c>
    </row>
    <row r="199" spans="3:7" ht="15.75" thickBot="1" x14ac:dyDescent="0.3">
      <c r="C199" s="236" t="s">
        <v>113</v>
      </c>
      <c r="D199" s="240">
        <v>148527</v>
      </c>
      <c r="E199" s="239">
        <v>0</v>
      </c>
      <c r="F199" s="239">
        <v>0</v>
      </c>
      <c r="G199" s="239">
        <v>0</v>
      </c>
    </row>
    <row r="200" spans="3:7" ht="15.75" thickBot="1" x14ac:dyDescent="0.3">
      <c r="C200" s="238" t="s">
        <v>293</v>
      </c>
      <c r="D200" s="240">
        <f>D199+D198</f>
        <v>148527</v>
      </c>
      <c r="E200" s="240">
        <f t="shared" ref="E200:G200" si="20">E199+E198</f>
        <v>0</v>
      </c>
      <c r="F200" s="240">
        <f t="shared" si="20"/>
        <v>0</v>
      </c>
      <c r="G200" s="240">
        <f t="shared" si="20"/>
        <v>0</v>
      </c>
    </row>
    <row r="201" spans="3:7" ht="15.75" customHeight="1" thickBot="1" x14ac:dyDescent="0.3">
      <c r="C201" s="94" t="s">
        <v>260</v>
      </c>
      <c r="D201" s="415" t="s">
        <v>294</v>
      </c>
      <c r="E201" s="416"/>
      <c r="F201" s="416"/>
      <c r="G201" s="417"/>
    </row>
    <row r="202" spans="3:7" ht="15.75" thickBot="1" x14ac:dyDescent="0.3">
      <c r="C202" s="86" t="s">
        <v>295</v>
      </c>
      <c r="D202" s="415" t="s">
        <v>296</v>
      </c>
      <c r="E202" s="416"/>
      <c r="F202" s="416"/>
      <c r="G202" s="417"/>
    </row>
    <row r="203" spans="3:7" ht="26.25" customHeight="1" thickBot="1" x14ac:dyDescent="0.3">
      <c r="C203" s="86" t="s">
        <v>73</v>
      </c>
      <c r="D203" s="434" t="s">
        <v>297</v>
      </c>
      <c r="E203" s="435"/>
      <c r="F203" s="435"/>
      <c r="G203" s="436"/>
    </row>
    <row r="204" spans="3:7" ht="15.75" thickBot="1" x14ac:dyDescent="0.3">
      <c r="C204" s="86" t="s">
        <v>75</v>
      </c>
      <c r="D204" s="415" t="s">
        <v>298</v>
      </c>
      <c r="E204" s="416"/>
      <c r="F204" s="416"/>
      <c r="G204" s="417"/>
    </row>
    <row r="205" spans="3:7" x14ac:dyDescent="0.25">
      <c r="C205" s="418"/>
      <c r="D205" s="20">
        <v>2018</v>
      </c>
      <c r="E205" s="20">
        <v>2019</v>
      </c>
      <c r="F205" s="20">
        <v>2020</v>
      </c>
      <c r="G205" s="20">
        <v>2021</v>
      </c>
    </row>
    <row r="206" spans="3:7" ht="15.75" thickBot="1" x14ac:dyDescent="0.3">
      <c r="C206" s="419"/>
      <c r="D206" s="21" t="s">
        <v>42</v>
      </c>
      <c r="E206" s="21" t="s">
        <v>43</v>
      </c>
      <c r="F206" s="21" t="s">
        <v>43</v>
      </c>
      <c r="G206" s="21" t="s">
        <v>43</v>
      </c>
    </row>
    <row r="207" spans="3:7" ht="15.75" thickBot="1" x14ac:dyDescent="0.3">
      <c r="C207" s="231" t="s">
        <v>77</v>
      </c>
      <c r="D207" s="233">
        <v>1</v>
      </c>
      <c r="E207" s="233">
        <v>0</v>
      </c>
      <c r="F207" s="233">
        <v>0</v>
      </c>
      <c r="G207" s="233">
        <v>0</v>
      </c>
    </row>
    <row r="208" spans="3:7" ht="15.75" thickBot="1" x14ac:dyDescent="0.3">
      <c r="C208" s="231" t="s">
        <v>78</v>
      </c>
      <c r="D208" s="233">
        <v>129660</v>
      </c>
      <c r="E208" s="233">
        <v>0</v>
      </c>
      <c r="F208" s="233">
        <v>0</v>
      </c>
      <c r="G208" s="233">
        <v>0</v>
      </c>
    </row>
    <row r="209" spans="3:7" ht="15.75" thickBot="1" x14ac:dyDescent="0.3">
      <c r="C209" s="231" t="s">
        <v>79</v>
      </c>
      <c r="D209" s="233">
        <f>D208/D207</f>
        <v>129660</v>
      </c>
      <c r="E209" s="233">
        <v>0</v>
      </c>
      <c r="F209" s="233">
        <v>0</v>
      </c>
      <c r="G209" s="233">
        <v>0</v>
      </c>
    </row>
    <row r="210" spans="3:7" ht="15.75" thickBot="1" x14ac:dyDescent="0.3">
      <c r="C210" s="231" t="s">
        <v>80</v>
      </c>
      <c r="D210" s="234" t="s">
        <v>81</v>
      </c>
      <c r="E210" s="233">
        <v>0</v>
      </c>
      <c r="F210" s="233">
        <v>0</v>
      </c>
      <c r="G210" s="233">
        <v>0</v>
      </c>
    </row>
    <row r="211" spans="3:7" ht="15.75" thickBot="1" x14ac:dyDescent="0.3">
      <c r="C211" s="231" t="s">
        <v>82</v>
      </c>
      <c r="D211" s="234" t="s">
        <v>81</v>
      </c>
      <c r="E211" s="233">
        <v>0</v>
      </c>
      <c r="F211" s="233">
        <v>0</v>
      </c>
      <c r="G211" s="233">
        <v>0</v>
      </c>
    </row>
    <row r="212" spans="3:7" ht="15.75" thickBot="1" x14ac:dyDescent="0.3">
      <c r="C212" s="231" t="s">
        <v>83</v>
      </c>
      <c r="D212" s="234" t="s">
        <v>81</v>
      </c>
      <c r="E212" s="233">
        <v>0</v>
      </c>
      <c r="F212" s="233">
        <v>0</v>
      </c>
      <c r="G212" s="233">
        <v>0</v>
      </c>
    </row>
    <row r="213" spans="3:7" ht="15.75" customHeight="1" thickBot="1" x14ac:dyDescent="0.3">
      <c r="C213" s="392" t="s">
        <v>299</v>
      </c>
      <c r="D213" s="393"/>
      <c r="E213" s="393"/>
      <c r="F213" s="393"/>
      <c r="G213" s="394"/>
    </row>
    <row r="214" spans="3:7" x14ac:dyDescent="0.25">
      <c r="C214" s="418"/>
      <c r="D214" s="20">
        <v>2018</v>
      </c>
      <c r="E214" s="20">
        <v>2019</v>
      </c>
      <c r="F214" s="20">
        <v>2020</v>
      </c>
      <c r="G214" s="20">
        <v>2021</v>
      </c>
    </row>
    <row r="215" spans="3:7" ht="15.75" thickBot="1" x14ac:dyDescent="0.3">
      <c r="C215" s="419"/>
      <c r="D215" s="21" t="s">
        <v>42</v>
      </c>
      <c r="E215" s="21" t="s">
        <v>43</v>
      </c>
      <c r="F215" s="21" t="s">
        <v>43</v>
      </c>
      <c r="G215" s="21" t="s">
        <v>43</v>
      </c>
    </row>
    <row r="216" spans="3:7" ht="15.75" thickBot="1" x14ac:dyDescent="0.3">
      <c r="C216" s="236" t="s">
        <v>170</v>
      </c>
      <c r="D216" s="239">
        <v>129660</v>
      </c>
      <c r="E216" s="239">
        <v>0</v>
      </c>
      <c r="F216" s="239">
        <v>0</v>
      </c>
      <c r="G216" s="239">
        <v>0</v>
      </c>
    </row>
    <row r="217" spans="3:7" ht="15.75" thickBot="1" x14ac:dyDescent="0.3">
      <c r="C217" s="236" t="s">
        <v>113</v>
      </c>
      <c r="D217" s="240"/>
      <c r="E217" s="239">
        <v>0</v>
      </c>
      <c r="F217" s="239">
        <v>0</v>
      </c>
      <c r="G217" s="239">
        <v>0</v>
      </c>
    </row>
    <row r="218" spans="3:7" ht="15.75" thickBot="1" x14ac:dyDescent="0.3">
      <c r="C218" s="238" t="s">
        <v>300</v>
      </c>
      <c r="D218" s="240">
        <f>D217+D216</f>
        <v>129660</v>
      </c>
      <c r="E218" s="240">
        <f t="shared" ref="E218:G218" si="21">E217+E216</f>
        <v>0</v>
      </c>
      <c r="F218" s="240">
        <f t="shared" si="21"/>
        <v>0</v>
      </c>
      <c r="G218" s="240">
        <f t="shared" si="21"/>
        <v>0</v>
      </c>
    </row>
    <row r="219" spans="3:7" ht="22.5" customHeight="1" thickBot="1" x14ac:dyDescent="0.3">
      <c r="C219" s="94" t="s">
        <v>260</v>
      </c>
      <c r="D219" s="434" t="s">
        <v>301</v>
      </c>
      <c r="E219" s="435"/>
      <c r="F219" s="435"/>
      <c r="G219" s="436"/>
    </row>
    <row r="220" spans="3:7" ht="22.5" customHeight="1" thickBot="1" x14ac:dyDescent="0.3">
      <c r="C220" s="86" t="s">
        <v>302</v>
      </c>
      <c r="D220" s="434" t="s">
        <v>303</v>
      </c>
      <c r="E220" s="435"/>
      <c r="F220" s="435"/>
      <c r="G220" s="436"/>
    </row>
    <row r="221" spans="3:7" ht="24" customHeight="1" thickBot="1" x14ac:dyDescent="0.3">
      <c r="C221" s="86" t="s">
        <v>73</v>
      </c>
      <c r="D221" s="434" t="s">
        <v>297</v>
      </c>
      <c r="E221" s="435"/>
      <c r="F221" s="435"/>
      <c r="G221" s="436"/>
    </row>
    <row r="222" spans="3:7" ht="15.75" thickBot="1" x14ac:dyDescent="0.3">
      <c r="C222" s="86" t="s">
        <v>75</v>
      </c>
      <c r="D222" s="415" t="s">
        <v>298</v>
      </c>
      <c r="E222" s="416"/>
      <c r="F222" s="416"/>
      <c r="G222" s="417"/>
    </row>
    <row r="223" spans="3:7" x14ac:dyDescent="0.25">
      <c r="C223" s="418"/>
      <c r="D223" s="20">
        <v>2018</v>
      </c>
      <c r="E223" s="20">
        <v>2019</v>
      </c>
      <c r="F223" s="20">
        <v>2020</v>
      </c>
      <c r="G223" s="20">
        <v>2021</v>
      </c>
    </row>
    <row r="224" spans="3:7" ht="15.75" thickBot="1" x14ac:dyDescent="0.3">
      <c r="C224" s="419"/>
      <c r="D224" s="21" t="s">
        <v>42</v>
      </c>
      <c r="E224" s="21" t="s">
        <v>43</v>
      </c>
      <c r="F224" s="21" t="s">
        <v>43</v>
      </c>
      <c r="G224" s="21" t="s">
        <v>43</v>
      </c>
    </row>
    <row r="225" spans="3:7" ht="15.75" thickBot="1" x14ac:dyDescent="0.3">
      <c r="C225" s="231" t="s">
        <v>77</v>
      </c>
      <c r="D225" s="233">
        <v>1</v>
      </c>
      <c r="E225" s="233">
        <v>0</v>
      </c>
      <c r="F225" s="233">
        <v>1</v>
      </c>
      <c r="G225" s="233">
        <v>1</v>
      </c>
    </row>
    <row r="226" spans="3:7" ht="15.75" thickBot="1" x14ac:dyDescent="0.3">
      <c r="C226" s="231" t="s">
        <v>78</v>
      </c>
      <c r="D226" s="233">
        <v>33009</v>
      </c>
      <c r="E226" s="233">
        <v>0</v>
      </c>
      <c r="F226" s="233">
        <v>13410</v>
      </c>
      <c r="G226" s="233">
        <v>12069</v>
      </c>
    </row>
    <row r="227" spans="3:7" ht="15.75" thickBot="1" x14ac:dyDescent="0.3">
      <c r="C227" s="231" t="s">
        <v>79</v>
      </c>
      <c r="D227" s="233">
        <f>D226/D225</f>
        <v>33009</v>
      </c>
      <c r="E227" s="233">
        <v>0</v>
      </c>
      <c r="F227" s="233">
        <f t="shared" ref="F227:G227" si="22">F226/F225</f>
        <v>13410</v>
      </c>
      <c r="G227" s="233">
        <f t="shared" si="22"/>
        <v>12069</v>
      </c>
    </row>
    <row r="228" spans="3:7" ht="15.75" thickBot="1" x14ac:dyDescent="0.3">
      <c r="C228" s="231" t="s">
        <v>80</v>
      </c>
      <c r="D228" s="234" t="s">
        <v>81</v>
      </c>
      <c r="E228" s="235"/>
      <c r="F228" s="235">
        <f>F225/D225-1</f>
        <v>0</v>
      </c>
      <c r="G228" s="235">
        <f t="shared" ref="G228:G230" si="23">G225/F225-1</f>
        <v>0</v>
      </c>
    </row>
    <row r="229" spans="3:7" ht="15.75" thickBot="1" x14ac:dyDescent="0.3">
      <c r="C229" s="231" t="s">
        <v>82</v>
      </c>
      <c r="D229" s="234" t="s">
        <v>81</v>
      </c>
      <c r="E229" s="235"/>
      <c r="F229" s="235">
        <f t="shared" ref="F229:F230" si="24">F226/D226-1</f>
        <v>-0.5937471598654912</v>
      </c>
      <c r="G229" s="235">
        <f t="shared" si="23"/>
        <v>-9.9999999999999978E-2</v>
      </c>
    </row>
    <row r="230" spans="3:7" ht="15.75" thickBot="1" x14ac:dyDescent="0.3">
      <c r="C230" s="231" t="s">
        <v>83</v>
      </c>
      <c r="D230" s="234" t="s">
        <v>81</v>
      </c>
      <c r="E230" s="235"/>
      <c r="F230" s="235">
        <f t="shared" si="24"/>
        <v>-0.5937471598654912</v>
      </c>
      <c r="G230" s="235">
        <f t="shared" si="23"/>
        <v>-9.9999999999999978E-2</v>
      </c>
    </row>
    <row r="231" spans="3:7" ht="15.75" customHeight="1" thickBot="1" x14ac:dyDescent="0.3">
      <c r="C231" s="392" t="s">
        <v>304</v>
      </c>
      <c r="D231" s="393"/>
      <c r="E231" s="393"/>
      <c r="F231" s="393"/>
      <c r="G231" s="394"/>
    </row>
    <row r="232" spans="3:7" x14ac:dyDescent="0.25">
      <c r="C232" s="418"/>
      <c r="D232" s="20">
        <v>2018</v>
      </c>
      <c r="E232" s="20">
        <v>2019</v>
      </c>
      <c r="F232" s="20">
        <v>2020</v>
      </c>
      <c r="G232" s="20">
        <v>2021</v>
      </c>
    </row>
    <row r="233" spans="3:7" ht="15.75" thickBot="1" x14ac:dyDescent="0.3">
      <c r="C233" s="419"/>
      <c r="D233" s="21" t="s">
        <v>42</v>
      </c>
      <c r="E233" s="21" t="s">
        <v>43</v>
      </c>
      <c r="F233" s="21" t="s">
        <v>43</v>
      </c>
      <c r="G233" s="21" t="s">
        <v>43</v>
      </c>
    </row>
    <row r="234" spans="3:7" ht="15.75" thickBot="1" x14ac:dyDescent="0.3">
      <c r="C234" s="236" t="s">
        <v>170</v>
      </c>
      <c r="D234" s="239">
        <v>33009</v>
      </c>
      <c r="E234" s="239">
        <v>0</v>
      </c>
      <c r="F234" s="239">
        <v>13410</v>
      </c>
      <c r="G234" s="239">
        <v>12069</v>
      </c>
    </row>
    <row r="235" spans="3:7" x14ac:dyDescent="0.25">
      <c r="C235" s="241" t="s">
        <v>113</v>
      </c>
      <c r="D235" s="246">
        <v>0</v>
      </c>
      <c r="E235" s="247">
        <v>0</v>
      </c>
      <c r="F235" s="247">
        <v>0</v>
      </c>
      <c r="G235" s="247">
        <v>0</v>
      </c>
    </row>
    <row r="236" spans="3:7" x14ac:dyDescent="0.25">
      <c r="C236" s="248" t="s">
        <v>305</v>
      </c>
      <c r="D236" s="249">
        <f>D235+D234</f>
        <v>33009</v>
      </c>
      <c r="E236" s="249">
        <f t="shared" ref="E236:G236" si="25">E235+E234</f>
        <v>0</v>
      </c>
      <c r="F236" s="249">
        <f t="shared" si="25"/>
        <v>13410</v>
      </c>
      <c r="G236" s="250">
        <f t="shared" si="25"/>
        <v>12069</v>
      </c>
    </row>
    <row r="237" spans="3:7" ht="15.75" thickBot="1" x14ac:dyDescent="0.3">
      <c r="C237" s="89"/>
      <c r="D237" s="95"/>
      <c r="E237" s="95"/>
      <c r="F237" s="95"/>
      <c r="G237" s="80"/>
    </row>
    <row r="238" spans="3:7" ht="23.25" customHeight="1" thickBot="1" x14ac:dyDescent="0.3">
      <c r="C238" s="96" t="s">
        <v>182</v>
      </c>
      <c r="D238" s="422" t="s">
        <v>306</v>
      </c>
      <c r="E238" s="423"/>
      <c r="F238" s="423"/>
      <c r="G238" s="424"/>
    </row>
    <row r="239" spans="3:7" ht="15.75" customHeight="1" thickBot="1" x14ac:dyDescent="0.3">
      <c r="C239" s="392" t="s">
        <v>184</v>
      </c>
      <c r="D239" s="393"/>
      <c r="E239" s="393"/>
      <c r="F239" s="393"/>
      <c r="G239" s="394"/>
    </row>
    <row r="240" spans="3:7" ht="35.25" customHeight="1" thickBot="1" x14ac:dyDescent="0.3">
      <c r="C240" s="236" t="s">
        <v>307</v>
      </c>
      <c r="D240" s="229">
        <v>0.02</v>
      </c>
      <c r="E240" s="229">
        <v>0.03</v>
      </c>
      <c r="F240" s="229">
        <v>0.03</v>
      </c>
      <c r="G240" s="229">
        <v>0.03</v>
      </c>
    </row>
    <row r="241" spans="3:7" ht="15.75" thickBot="1" x14ac:dyDescent="0.3">
      <c r="C241" s="236" t="s">
        <v>308</v>
      </c>
      <c r="D241" s="229">
        <v>0.02</v>
      </c>
      <c r="E241" s="229">
        <v>0.03</v>
      </c>
      <c r="F241" s="229">
        <v>0.03</v>
      </c>
      <c r="G241" s="229">
        <v>0.03</v>
      </c>
    </row>
    <row r="242" spans="3:7" ht="15.75" thickBot="1" x14ac:dyDescent="0.3">
      <c r="C242" s="392" t="s">
        <v>197</v>
      </c>
      <c r="D242" s="393"/>
      <c r="E242" s="393"/>
      <c r="F242" s="393"/>
      <c r="G242" s="394"/>
    </row>
    <row r="243" spans="3:7" ht="15.75" thickBot="1" x14ac:dyDescent="0.3">
      <c r="C243" s="440" t="s">
        <v>115</v>
      </c>
      <c r="D243" s="441"/>
      <c r="E243" s="441"/>
      <c r="F243" s="441"/>
      <c r="G243" s="442"/>
    </row>
    <row r="244" spans="3:7" x14ac:dyDescent="0.25">
      <c r="C244" s="418"/>
      <c r="D244" s="20">
        <v>2018</v>
      </c>
      <c r="E244" s="20">
        <v>2019</v>
      </c>
      <c r="F244" s="20">
        <v>2020</v>
      </c>
      <c r="G244" s="20">
        <v>2021</v>
      </c>
    </row>
    <row r="245" spans="3:7" ht="15.75" thickBot="1" x14ac:dyDescent="0.3">
      <c r="C245" s="419"/>
      <c r="D245" s="21" t="s">
        <v>42</v>
      </c>
      <c r="E245" s="21" t="s">
        <v>43</v>
      </c>
      <c r="F245" s="21" t="s">
        <v>43</v>
      </c>
      <c r="G245" s="21" t="s">
        <v>43</v>
      </c>
    </row>
    <row r="246" spans="3:7" ht="15.75" customHeight="1" thickBot="1" x14ac:dyDescent="0.3">
      <c r="C246" s="86" t="s">
        <v>109</v>
      </c>
      <c r="D246" s="415" t="s">
        <v>309</v>
      </c>
      <c r="E246" s="416"/>
      <c r="F246" s="416"/>
      <c r="G246" s="417"/>
    </row>
    <row r="247" spans="3:7" ht="25.5" customHeight="1" thickBot="1" x14ac:dyDescent="0.3">
      <c r="C247" s="86" t="s">
        <v>73</v>
      </c>
      <c r="D247" s="434" t="s">
        <v>310</v>
      </c>
      <c r="E247" s="435"/>
      <c r="F247" s="435"/>
      <c r="G247" s="436"/>
    </row>
    <row r="248" spans="3:7" ht="15.75" thickBot="1" x14ac:dyDescent="0.3">
      <c r="C248" s="86" t="s">
        <v>75</v>
      </c>
      <c r="D248" s="415" t="s">
        <v>311</v>
      </c>
      <c r="E248" s="416"/>
      <c r="F248" s="416"/>
      <c r="G248" s="417"/>
    </row>
    <row r="249" spans="3:7" x14ac:dyDescent="0.25">
      <c r="C249" s="418"/>
      <c r="D249" s="20">
        <v>2018</v>
      </c>
      <c r="E249" s="20">
        <v>2019</v>
      </c>
      <c r="F249" s="20">
        <v>2020</v>
      </c>
      <c r="G249" s="20">
        <v>2021</v>
      </c>
    </row>
    <row r="250" spans="3:7" ht="15.75" thickBot="1" x14ac:dyDescent="0.3">
      <c r="C250" s="419"/>
      <c r="D250" s="21" t="s">
        <v>42</v>
      </c>
      <c r="E250" s="21" t="s">
        <v>43</v>
      </c>
      <c r="F250" s="21" t="s">
        <v>43</v>
      </c>
      <c r="G250" s="21" t="s">
        <v>43</v>
      </c>
    </row>
    <row r="251" spans="3:7" ht="15.75" thickBot="1" x14ac:dyDescent="0.3">
      <c r="C251" s="231" t="s">
        <v>77</v>
      </c>
      <c r="D251" s="233">
        <v>25000</v>
      </c>
      <c r="E251" s="239">
        <v>25600</v>
      </c>
      <c r="F251" s="239">
        <v>26300</v>
      </c>
      <c r="G251" s="239">
        <v>27000</v>
      </c>
    </row>
    <row r="252" spans="3:7" ht="15.75" thickBot="1" x14ac:dyDescent="0.3">
      <c r="C252" s="231" t="s">
        <v>78</v>
      </c>
      <c r="D252" s="239">
        <v>317634</v>
      </c>
      <c r="E252" s="239">
        <v>320392</v>
      </c>
      <c r="F252" s="239">
        <v>323201</v>
      </c>
      <c r="G252" s="239">
        <v>326100</v>
      </c>
    </row>
    <row r="253" spans="3:7" ht="15.75" thickBot="1" x14ac:dyDescent="0.3">
      <c r="C253" s="231" t="s">
        <v>79</v>
      </c>
      <c r="D253" s="233">
        <f>D252/D251</f>
        <v>12.705360000000001</v>
      </c>
      <c r="E253" s="233">
        <f t="shared" ref="E253:G253" si="26">E252/E251</f>
        <v>12.5153125</v>
      </c>
      <c r="F253" s="233">
        <f t="shared" si="26"/>
        <v>12.289011406844107</v>
      </c>
      <c r="G253" s="233">
        <f t="shared" si="26"/>
        <v>12.077777777777778</v>
      </c>
    </row>
    <row r="254" spans="3:7" ht="15.75" thickBot="1" x14ac:dyDescent="0.3">
      <c r="C254" s="231" t="s">
        <v>80</v>
      </c>
      <c r="D254" s="234">
        <v>0</v>
      </c>
      <c r="E254" s="235">
        <f>E251/D251-1</f>
        <v>2.4000000000000021E-2</v>
      </c>
      <c r="F254" s="235">
        <f t="shared" ref="F254:G256" si="27">F251/E251-1</f>
        <v>2.734375E-2</v>
      </c>
      <c r="G254" s="235">
        <f t="shared" si="27"/>
        <v>2.6615969581748944E-2</v>
      </c>
    </row>
    <row r="255" spans="3:7" ht="15.75" thickBot="1" x14ac:dyDescent="0.3">
      <c r="C255" s="231" t="s">
        <v>82</v>
      </c>
      <c r="D255" s="234">
        <v>0</v>
      </c>
      <c r="E255" s="235">
        <f>E252/D252-1</f>
        <v>8.6829495582967375E-3</v>
      </c>
      <c r="F255" s="235">
        <f t="shared" si="27"/>
        <v>8.7673849534319892E-3</v>
      </c>
      <c r="G255" s="235">
        <f t="shared" si="27"/>
        <v>8.9696504651903819E-3</v>
      </c>
    </row>
    <row r="256" spans="3:7" ht="15.75" thickBot="1" x14ac:dyDescent="0.3">
      <c r="C256" s="231" t="s">
        <v>83</v>
      </c>
      <c r="D256" s="234">
        <v>0</v>
      </c>
      <c r="E256" s="235">
        <f>E253/D253-1</f>
        <v>-1.495805707197595E-2</v>
      </c>
      <c r="F256" s="235">
        <f t="shared" si="27"/>
        <v>-1.8081937079548971E-2</v>
      </c>
      <c r="G256" s="235">
        <f t="shared" si="27"/>
        <v>-1.7188821954277622E-2</v>
      </c>
    </row>
    <row r="257" spans="3:7" ht="7.5" customHeight="1" x14ac:dyDescent="0.25">
      <c r="C257" s="418"/>
      <c r="D257" s="20">
        <v>2018</v>
      </c>
      <c r="E257" s="20">
        <v>2019</v>
      </c>
      <c r="F257" s="20">
        <v>2020</v>
      </c>
      <c r="G257" s="20">
        <v>2021</v>
      </c>
    </row>
    <row r="258" spans="3:7" ht="11.25" customHeight="1" thickBot="1" x14ac:dyDescent="0.3">
      <c r="C258" s="419"/>
      <c r="D258" s="21" t="s">
        <v>42</v>
      </c>
      <c r="E258" s="21" t="s">
        <v>43</v>
      </c>
      <c r="F258" s="21" t="s">
        <v>43</v>
      </c>
      <c r="G258" s="21" t="s">
        <v>43</v>
      </c>
    </row>
    <row r="259" spans="3:7" ht="15.75" customHeight="1" thickBot="1" x14ac:dyDescent="0.3">
      <c r="C259" s="392" t="s">
        <v>132</v>
      </c>
      <c r="D259" s="393"/>
      <c r="E259" s="393"/>
      <c r="F259" s="393"/>
      <c r="G259" s="394"/>
    </row>
    <row r="260" spans="3:7" x14ac:dyDescent="0.25">
      <c r="C260" s="418"/>
      <c r="D260" s="20">
        <v>2018</v>
      </c>
      <c r="E260" s="20">
        <v>2019</v>
      </c>
      <c r="F260" s="20">
        <v>2020</v>
      </c>
      <c r="G260" s="20">
        <v>2021</v>
      </c>
    </row>
    <row r="261" spans="3:7" ht="15.75" thickBot="1" x14ac:dyDescent="0.3">
      <c r="C261" s="419"/>
      <c r="D261" s="21" t="s">
        <v>42</v>
      </c>
      <c r="E261" s="21" t="s">
        <v>43</v>
      </c>
      <c r="F261" s="21" t="s">
        <v>43</v>
      </c>
      <c r="G261" s="21" t="s">
        <v>43</v>
      </c>
    </row>
    <row r="262" spans="3:7" ht="15.75" thickBot="1" x14ac:dyDescent="0.3">
      <c r="C262" s="236" t="s">
        <v>85</v>
      </c>
      <c r="D262" s="239">
        <v>186506</v>
      </c>
      <c r="E262" s="239">
        <v>186506</v>
      </c>
      <c r="F262" s="239">
        <v>186506</v>
      </c>
      <c r="G262" s="239">
        <v>186506</v>
      </c>
    </row>
    <row r="263" spans="3:7" ht="24.75" thickBot="1" x14ac:dyDescent="0.3">
      <c r="C263" s="236" t="s">
        <v>86</v>
      </c>
      <c r="D263" s="239">
        <v>43946</v>
      </c>
      <c r="E263" s="239">
        <v>43946</v>
      </c>
      <c r="F263" s="239">
        <v>43946</v>
      </c>
      <c r="G263" s="239">
        <v>43946</v>
      </c>
    </row>
    <row r="264" spans="3:7" ht="15.75" thickBot="1" x14ac:dyDescent="0.3">
      <c r="C264" s="236" t="s">
        <v>87</v>
      </c>
      <c r="D264" s="240">
        <v>81949</v>
      </c>
      <c r="E264" s="239">
        <v>84407</v>
      </c>
      <c r="F264" s="239">
        <v>86939</v>
      </c>
      <c r="G264" s="239">
        <v>89548</v>
      </c>
    </row>
    <row r="265" spans="3:7" ht="15.75" thickBot="1" x14ac:dyDescent="0.3">
      <c r="C265" s="236" t="s">
        <v>88</v>
      </c>
      <c r="D265" s="240">
        <v>0</v>
      </c>
      <c r="E265" s="240">
        <v>0</v>
      </c>
      <c r="F265" s="240">
        <v>0</v>
      </c>
      <c r="G265" s="240">
        <v>0</v>
      </c>
    </row>
    <row r="266" spans="3:7" ht="15.75" thickBot="1" x14ac:dyDescent="0.3">
      <c r="C266" s="236" t="s">
        <v>89</v>
      </c>
      <c r="D266" s="240">
        <v>0</v>
      </c>
      <c r="E266" s="240">
        <v>0</v>
      </c>
      <c r="F266" s="240">
        <v>0</v>
      </c>
      <c r="G266" s="240">
        <v>0</v>
      </c>
    </row>
    <row r="267" spans="3:7" ht="15.75" thickBot="1" x14ac:dyDescent="0.3">
      <c r="C267" s="236" t="s">
        <v>90</v>
      </c>
      <c r="D267" s="240">
        <v>3696</v>
      </c>
      <c r="E267" s="239">
        <v>5533</v>
      </c>
      <c r="F267" s="239">
        <v>5810</v>
      </c>
      <c r="G267" s="239">
        <v>6100</v>
      </c>
    </row>
    <row r="268" spans="3:7" ht="24.75" thickBot="1" x14ac:dyDescent="0.3">
      <c r="C268" s="236" t="s">
        <v>91</v>
      </c>
      <c r="D268" s="240">
        <v>1537</v>
      </c>
      <c r="E268" s="239"/>
      <c r="F268" s="239"/>
      <c r="G268" s="239"/>
    </row>
    <row r="269" spans="3:7" ht="15" customHeight="1" thickBot="1" x14ac:dyDescent="0.3">
      <c r="C269" s="241" t="s">
        <v>312</v>
      </c>
      <c r="D269" s="239">
        <f>D268+D267+D266+D265+D264+D263+D262</f>
        <v>317634</v>
      </c>
      <c r="E269" s="239">
        <f>E268+E267+E266+E265+E264+E263+E262</f>
        <v>320392</v>
      </c>
      <c r="F269" s="239">
        <f>F268+F267+F266+F265+F264+F263+F262</f>
        <v>323201</v>
      </c>
      <c r="G269" s="239">
        <f>G268+G267+G266+G265+G264+G263+G262</f>
        <v>326100</v>
      </c>
    </row>
    <row r="270" spans="3:7" ht="15.75" thickBot="1" x14ac:dyDescent="0.3">
      <c r="C270" s="251" t="s">
        <v>93</v>
      </c>
      <c r="D270" s="239">
        <f>IF(D269-D252=0,0,"Error")</f>
        <v>0</v>
      </c>
      <c r="E270" s="239">
        <f>IF(E269-E252=0,0,"Error")</f>
        <v>0</v>
      </c>
      <c r="F270" s="239">
        <f>IF(F269-F252=0,0,"Error")</f>
        <v>0</v>
      </c>
      <c r="G270" s="239">
        <f>IF(G269-G252=0,0,"Error")</f>
        <v>0</v>
      </c>
    </row>
    <row r="271" spans="3:7" ht="15.75" customHeight="1" thickBot="1" x14ac:dyDescent="0.3">
      <c r="C271" s="91" t="s">
        <v>94</v>
      </c>
      <c r="D271" s="415" t="s">
        <v>313</v>
      </c>
      <c r="E271" s="416"/>
      <c r="F271" s="416"/>
      <c r="G271" s="417"/>
    </row>
    <row r="272" spans="3:7" ht="15.75" customHeight="1" thickBot="1" x14ac:dyDescent="0.3">
      <c r="C272" s="86" t="s">
        <v>73</v>
      </c>
      <c r="D272" s="434" t="s">
        <v>314</v>
      </c>
      <c r="E272" s="435"/>
      <c r="F272" s="435"/>
      <c r="G272" s="436"/>
    </row>
    <row r="273" spans="3:7" ht="15.75" thickBot="1" x14ac:dyDescent="0.3">
      <c r="C273" s="86" t="s">
        <v>75</v>
      </c>
      <c r="D273" s="415" t="s">
        <v>315</v>
      </c>
      <c r="E273" s="416"/>
      <c r="F273" s="416"/>
      <c r="G273" s="417"/>
    </row>
    <row r="274" spans="3:7" x14ac:dyDescent="0.25">
      <c r="C274" s="418"/>
      <c r="D274" s="20">
        <v>2018</v>
      </c>
      <c r="E274" s="20">
        <v>2019</v>
      </c>
      <c r="F274" s="20">
        <v>2020</v>
      </c>
      <c r="G274" s="20">
        <v>2021</v>
      </c>
    </row>
    <row r="275" spans="3:7" ht="15.75" thickBot="1" x14ac:dyDescent="0.3">
      <c r="C275" s="419"/>
      <c r="D275" s="21" t="s">
        <v>42</v>
      </c>
      <c r="E275" s="21" t="s">
        <v>43</v>
      </c>
      <c r="F275" s="21" t="s">
        <v>43</v>
      </c>
      <c r="G275" s="21" t="s">
        <v>43</v>
      </c>
    </row>
    <row r="276" spans="3:7" ht="15.75" thickBot="1" x14ac:dyDescent="0.3">
      <c r="C276" s="231" t="s">
        <v>77</v>
      </c>
      <c r="D276" s="233">
        <v>1400</v>
      </c>
      <c r="E276" s="233">
        <f>1450</f>
        <v>1450</v>
      </c>
      <c r="F276" s="233">
        <v>1500</v>
      </c>
      <c r="G276" s="233">
        <v>1550</v>
      </c>
    </row>
    <row r="277" spans="3:7" ht="15.75" thickBot="1" x14ac:dyDescent="0.3">
      <c r="C277" s="231" t="s">
        <v>78</v>
      </c>
      <c r="D277" s="233">
        <v>45789</v>
      </c>
      <c r="E277" s="233">
        <v>45953</v>
      </c>
      <c r="F277" s="233">
        <v>46121</v>
      </c>
      <c r="G277" s="233">
        <v>46295</v>
      </c>
    </row>
    <row r="278" spans="3:7" ht="15.75" thickBot="1" x14ac:dyDescent="0.3">
      <c r="C278" s="231" t="s">
        <v>79</v>
      </c>
      <c r="D278" s="233">
        <f>D277/D276</f>
        <v>32.706428571428575</v>
      </c>
      <c r="E278" s="233">
        <f t="shared" ref="E278:G278" si="28">E277/E276</f>
        <v>31.691724137931036</v>
      </c>
      <c r="F278" s="233">
        <f t="shared" si="28"/>
        <v>30.747333333333334</v>
      </c>
      <c r="G278" s="233">
        <f t="shared" si="28"/>
        <v>29.86774193548387</v>
      </c>
    </row>
    <row r="279" spans="3:7" ht="15.75" thickBot="1" x14ac:dyDescent="0.3">
      <c r="C279" s="231" t="s">
        <v>80</v>
      </c>
      <c r="D279" s="234">
        <v>0</v>
      </c>
      <c r="E279" s="235">
        <f>E276/D276-1</f>
        <v>3.5714285714285809E-2</v>
      </c>
      <c r="F279" s="235">
        <f t="shared" ref="F279:G281" si="29">F276/E276-1</f>
        <v>3.4482758620689724E-2</v>
      </c>
      <c r="G279" s="235">
        <f t="shared" si="29"/>
        <v>3.3333333333333437E-2</v>
      </c>
    </row>
    <row r="280" spans="3:7" ht="15.75" thickBot="1" x14ac:dyDescent="0.3">
      <c r="C280" s="231" t="s">
        <v>82</v>
      </c>
      <c r="D280" s="234">
        <v>0</v>
      </c>
      <c r="E280" s="235">
        <f>E277/D277-1</f>
        <v>3.5816462469151489E-3</v>
      </c>
      <c r="F280" s="235">
        <f t="shared" si="29"/>
        <v>3.6559092986312436E-3</v>
      </c>
      <c r="G280" s="235">
        <f t="shared" si="29"/>
        <v>3.7726848940828894E-3</v>
      </c>
    </row>
    <row r="281" spans="3:7" ht="15.75" thickBot="1" x14ac:dyDescent="0.3">
      <c r="C281" s="231" t="s">
        <v>83</v>
      </c>
      <c r="D281" s="234">
        <v>0</v>
      </c>
      <c r="E281" s="235">
        <f>E278/D278-1</f>
        <v>-3.1024617416771538E-2</v>
      </c>
      <c r="F281" s="235">
        <f t="shared" si="29"/>
        <v>-2.9799287677989894E-2</v>
      </c>
      <c r="G281" s="235">
        <f t="shared" si="29"/>
        <v>-2.8607079134758462E-2</v>
      </c>
    </row>
    <row r="282" spans="3:7" ht="15.75" customHeight="1" thickBot="1" x14ac:dyDescent="0.3">
      <c r="C282" s="392" t="s">
        <v>133</v>
      </c>
      <c r="D282" s="393"/>
      <c r="E282" s="393"/>
      <c r="F282" s="393"/>
      <c r="G282" s="394"/>
    </row>
    <row r="283" spans="3:7" x14ac:dyDescent="0.25">
      <c r="C283" s="418"/>
      <c r="D283" s="20">
        <v>2018</v>
      </c>
      <c r="E283" s="20">
        <v>2019</v>
      </c>
      <c r="F283" s="20">
        <v>2020</v>
      </c>
      <c r="G283" s="20">
        <v>2021</v>
      </c>
    </row>
    <row r="284" spans="3:7" ht="15.75" thickBot="1" x14ac:dyDescent="0.3">
      <c r="C284" s="419"/>
      <c r="D284" s="21" t="s">
        <v>42</v>
      </c>
      <c r="E284" s="21" t="s">
        <v>43</v>
      </c>
      <c r="F284" s="21" t="s">
        <v>43</v>
      </c>
      <c r="G284" s="21" t="s">
        <v>43</v>
      </c>
    </row>
    <row r="285" spans="3:7" ht="15.75" thickBot="1" x14ac:dyDescent="0.3">
      <c r="C285" s="236" t="s">
        <v>85</v>
      </c>
      <c r="D285" s="239">
        <v>34593</v>
      </c>
      <c r="E285" s="239">
        <v>34593</v>
      </c>
      <c r="F285" s="239">
        <v>34593</v>
      </c>
      <c r="G285" s="239">
        <v>34593</v>
      </c>
    </row>
    <row r="286" spans="3:7" ht="24.75" thickBot="1" x14ac:dyDescent="0.3">
      <c r="C286" s="236" t="s">
        <v>86</v>
      </c>
      <c r="D286" s="239">
        <v>5745</v>
      </c>
      <c r="E286" s="239">
        <v>5745</v>
      </c>
      <c r="F286" s="239">
        <v>5745</v>
      </c>
      <c r="G286" s="239">
        <v>5745</v>
      </c>
    </row>
    <row r="287" spans="3:7" ht="15.75" thickBot="1" x14ac:dyDescent="0.3">
      <c r="C287" s="236" t="s">
        <v>87</v>
      </c>
      <c r="D287" s="240">
        <v>5451</v>
      </c>
      <c r="E287" s="239">
        <v>5615</v>
      </c>
      <c r="F287" s="239">
        <v>5783</v>
      </c>
      <c r="G287" s="239">
        <v>5957</v>
      </c>
    </row>
    <row r="288" spans="3:7" ht="15.75" thickBot="1" x14ac:dyDescent="0.3">
      <c r="C288" s="236" t="s">
        <v>88</v>
      </c>
      <c r="D288" s="240">
        <v>0</v>
      </c>
      <c r="E288" s="240">
        <v>0</v>
      </c>
      <c r="F288" s="240">
        <v>0</v>
      </c>
      <c r="G288" s="240">
        <v>0</v>
      </c>
    </row>
    <row r="289" spans="3:7" ht="15.75" thickBot="1" x14ac:dyDescent="0.3">
      <c r="C289" s="236" t="s">
        <v>89</v>
      </c>
      <c r="D289" s="240">
        <v>0</v>
      </c>
      <c r="E289" s="240">
        <v>0</v>
      </c>
      <c r="F289" s="240">
        <v>0</v>
      </c>
      <c r="G289" s="240">
        <v>0</v>
      </c>
    </row>
    <row r="290" spans="3:7" ht="15.75" thickBot="1" x14ac:dyDescent="0.3">
      <c r="C290" s="236" t="s">
        <v>90</v>
      </c>
      <c r="D290" s="240">
        <v>0</v>
      </c>
      <c r="E290" s="240">
        <v>0</v>
      </c>
      <c r="F290" s="240">
        <v>0</v>
      </c>
      <c r="G290" s="240">
        <v>0</v>
      </c>
    </row>
    <row r="291" spans="3:7" ht="24.75" thickBot="1" x14ac:dyDescent="0.3">
      <c r="C291" s="241" t="s">
        <v>91</v>
      </c>
      <c r="D291" s="240">
        <v>0</v>
      </c>
      <c r="E291" s="240">
        <v>0</v>
      </c>
      <c r="F291" s="240">
        <v>0</v>
      </c>
      <c r="G291" s="240">
        <v>0</v>
      </c>
    </row>
    <row r="292" spans="3:7" ht="24.75" thickBot="1" x14ac:dyDescent="0.3">
      <c r="C292" s="242" t="s">
        <v>316</v>
      </c>
      <c r="D292" s="240">
        <f>D291+D289+D290+D288+D287+D286+D285</f>
        <v>45789</v>
      </c>
      <c r="E292" s="240">
        <f>E291+E289+E290+E288+E287+E286+E285</f>
        <v>45953</v>
      </c>
      <c r="F292" s="240">
        <f>F291+F289+F290+F288+F287+F286+F285</f>
        <v>46121</v>
      </c>
      <c r="G292" s="240">
        <f>G291+G289+G290+G288+G287+G286+G285</f>
        <v>46295</v>
      </c>
    </row>
    <row r="293" spans="3:7" ht="15.75" thickBot="1" x14ac:dyDescent="0.3">
      <c r="C293" s="243" t="s">
        <v>93</v>
      </c>
      <c r="D293" s="239">
        <f>IF(D292-D277=0,0,"Error")</f>
        <v>0</v>
      </c>
      <c r="E293" s="239">
        <f>IF(E292-E277=0,0,"Error")</f>
        <v>0</v>
      </c>
      <c r="F293" s="239">
        <f>IF(F292-F277=0,0,"Error")</f>
        <v>0</v>
      </c>
      <c r="G293" s="239">
        <f>IF(G292-G277=0,0,"Error")</f>
        <v>0</v>
      </c>
    </row>
    <row r="294" spans="3:7" ht="15.75" thickBot="1" x14ac:dyDescent="0.3">
      <c r="C294" s="91" t="s">
        <v>100</v>
      </c>
      <c r="D294" s="415" t="s">
        <v>317</v>
      </c>
      <c r="E294" s="416"/>
      <c r="F294" s="416"/>
      <c r="G294" s="417"/>
    </row>
    <row r="295" spans="3:7" ht="24" customHeight="1" thickBot="1" x14ac:dyDescent="0.3">
      <c r="C295" s="86" t="s">
        <v>73</v>
      </c>
      <c r="D295" s="434" t="s">
        <v>318</v>
      </c>
      <c r="E295" s="435"/>
      <c r="F295" s="435"/>
      <c r="G295" s="436"/>
    </row>
    <row r="296" spans="3:7" ht="15.75" thickBot="1" x14ac:dyDescent="0.3">
      <c r="C296" s="86" t="s">
        <v>75</v>
      </c>
      <c r="D296" s="415" t="s">
        <v>319</v>
      </c>
      <c r="E296" s="416"/>
      <c r="F296" s="416"/>
      <c r="G296" s="417"/>
    </row>
    <row r="297" spans="3:7" x14ac:dyDescent="0.25">
      <c r="C297" s="418"/>
      <c r="D297" s="20">
        <v>2018</v>
      </c>
      <c r="E297" s="20">
        <v>2019</v>
      </c>
      <c r="F297" s="20">
        <v>2020</v>
      </c>
      <c r="G297" s="20">
        <v>2021</v>
      </c>
    </row>
    <row r="298" spans="3:7" ht="15.75" thickBot="1" x14ac:dyDescent="0.3">
      <c r="C298" s="419"/>
      <c r="D298" s="21" t="s">
        <v>42</v>
      </c>
      <c r="E298" s="21" t="s">
        <v>43</v>
      </c>
      <c r="F298" s="21" t="s">
        <v>43</v>
      </c>
      <c r="G298" s="21" t="s">
        <v>43</v>
      </c>
    </row>
    <row r="299" spans="3:7" ht="15.75" thickBot="1" x14ac:dyDescent="0.3">
      <c r="C299" s="231" t="s">
        <v>77</v>
      </c>
      <c r="D299" s="233">
        <v>5</v>
      </c>
      <c r="E299" s="233">
        <v>5</v>
      </c>
      <c r="F299" s="233">
        <v>5</v>
      </c>
      <c r="G299" s="233">
        <v>5</v>
      </c>
    </row>
    <row r="300" spans="3:7" ht="15.75" thickBot="1" x14ac:dyDescent="0.3">
      <c r="C300" s="231" t="s">
        <v>78</v>
      </c>
      <c r="D300" s="233">
        <v>1486117</v>
      </c>
      <c r="E300" s="233">
        <v>1624419</v>
      </c>
      <c r="F300" s="233">
        <v>1710582</v>
      </c>
      <c r="G300" s="233">
        <v>1761899</v>
      </c>
    </row>
    <row r="301" spans="3:7" ht="15.75" thickBot="1" x14ac:dyDescent="0.3">
      <c r="C301" s="231" t="s">
        <v>79</v>
      </c>
      <c r="D301" s="233">
        <f>D300/D299</f>
        <v>297223.40000000002</v>
      </c>
      <c r="E301" s="233">
        <f t="shared" ref="E301:G301" si="30">E300/E299</f>
        <v>324883.8</v>
      </c>
      <c r="F301" s="233">
        <f t="shared" si="30"/>
        <v>342116.4</v>
      </c>
      <c r="G301" s="233">
        <f t="shared" si="30"/>
        <v>352379.8</v>
      </c>
    </row>
    <row r="302" spans="3:7" ht="15.75" thickBot="1" x14ac:dyDescent="0.3">
      <c r="C302" s="231" t="s">
        <v>80</v>
      </c>
      <c r="D302" s="234">
        <v>0</v>
      </c>
      <c r="E302" s="235">
        <f>E299/D299-1</f>
        <v>0</v>
      </c>
      <c r="F302" s="235">
        <f t="shared" ref="F302:G304" si="31">F299/E299-1</f>
        <v>0</v>
      </c>
      <c r="G302" s="235">
        <f t="shared" si="31"/>
        <v>0</v>
      </c>
    </row>
    <row r="303" spans="3:7" ht="15.75" thickBot="1" x14ac:dyDescent="0.3">
      <c r="C303" s="231" t="s">
        <v>82</v>
      </c>
      <c r="D303" s="234">
        <v>0</v>
      </c>
      <c r="E303" s="235">
        <f>E300/D300-1</f>
        <v>9.306265926572399E-2</v>
      </c>
      <c r="F303" s="235">
        <f t="shared" si="31"/>
        <v>5.3042349295348012E-2</v>
      </c>
      <c r="G303" s="235">
        <f t="shared" si="31"/>
        <v>2.9999731085677217E-2</v>
      </c>
    </row>
    <row r="304" spans="3:7" ht="15.75" thickBot="1" x14ac:dyDescent="0.3">
      <c r="C304" s="231" t="s">
        <v>83</v>
      </c>
      <c r="D304" s="234">
        <v>0</v>
      </c>
      <c r="E304" s="235">
        <f>E301/D301-1</f>
        <v>9.306265926572399E-2</v>
      </c>
      <c r="F304" s="235">
        <f t="shared" si="31"/>
        <v>5.3042349295348235E-2</v>
      </c>
      <c r="G304" s="235">
        <f t="shared" si="31"/>
        <v>2.9999731085677217E-2</v>
      </c>
    </row>
    <row r="305" spans="3:7" ht="15.75" customHeight="1" thickBot="1" x14ac:dyDescent="0.3">
      <c r="C305" s="392" t="s">
        <v>134</v>
      </c>
      <c r="D305" s="393"/>
      <c r="E305" s="393"/>
      <c r="F305" s="393"/>
      <c r="G305" s="394"/>
    </row>
    <row r="306" spans="3:7" x14ac:dyDescent="0.25">
      <c r="C306" s="418"/>
      <c r="D306" s="20">
        <v>2018</v>
      </c>
      <c r="E306" s="20">
        <v>2019</v>
      </c>
      <c r="F306" s="20">
        <v>2020</v>
      </c>
      <c r="G306" s="20">
        <v>2021</v>
      </c>
    </row>
    <row r="307" spans="3:7" ht="15.75" thickBot="1" x14ac:dyDescent="0.3">
      <c r="C307" s="419"/>
      <c r="D307" s="21" t="s">
        <v>42</v>
      </c>
      <c r="E307" s="21" t="s">
        <v>43</v>
      </c>
      <c r="F307" s="21" t="s">
        <v>43</v>
      </c>
      <c r="G307" s="21" t="s">
        <v>43</v>
      </c>
    </row>
    <row r="308" spans="3:7" ht="15.75" thickBot="1" x14ac:dyDescent="0.3">
      <c r="C308" s="236" t="s">
        <v>85</v>
      </c>
      <c r="D308" s="239">
        <v>0</v>
      </c>
      <c r="E308" s="239">
        <v>0</v>
      </c>
      <c r="F308" s="239">
        <v>0</v>
      </c>
      <c r="G308" s="239">
        <v>0</v>
      </c>
    </row>
    <row r="309" spans="3:7" ht="24.75" thickBot="1" x14ac:dyDescent="0.3">
      <c r="C309" s="236" t="s">
        <v>86</v>
      </c>
      <c r="D309" s="239">
        <v>0</v>
      </c>
      <c r="E309" s="239">
        <v>0</v>
      </c>
      <c r="F309" s="239">
        <v>0</v>
      </c>
      <c r="G309" s="239">
        <v>0</v>
      </c>
    </row>
    <row r="310" spans="3:7" ht="15.75" thickBot="1" x14ac:dyDescent="0.3">
      <c r="C310" s="236" t="s">
        <v>87</v>
      </c>
      <c r="D310" s="240">
        <f>D300</f>
        <v>1486117</v>
      </c>
      <c r="E310" s="240">
        <f t="shared" ref="E310:G310" si="32">E300</f>
        <v>1624419</v>
      </c>
      <c r="F310" s="240">
        <f t="shared" si="32"/>
        <v>1710582</v>
      </c>
      <c r="G310" s="240">
        <f t="shared" si="32"/>
        <v>1761899</v>
      </c>
    </row>
    <row r="311" spans="3:7" ht="15.75" thickBot="1" x14ac:dyDescent="0.3">
      <c r="C311" s="236" t="s">
        <v>88</v>
      </c>
      <c r="D311" s="239">
        <v>0</v>
      </c>
      <c r="E311" s="239">
        <v>0</v>
      </c>
      <c r="F311" s="239">
        <v>0</v>
      </c>
      <c r="G311" s="239">
        <v>0</v>
      </c>
    </row>
    <row r="312" spans="3:7" ht="15.75" thickBot="1" x14ac:dyDescent="0.3">
      <c r="C312" s="236" t="s">
        <v>89</v>
      </c>
      <c r="D312" s="239">
        <v>0</v>
      </c>
      <c r="E312" s="239">
        <v>0</v>
      </c>
      <c r="F312" s="239">
        <v>0</v>
      </c>
      <c r="G312" s="239">
        <v>0</v>
      </c>
    </row>
    <row r="313" spans="3:7" ht="15.75" thickBot="1" x14ac:dyDescent="0.3">
      <c r="C313" s="236" t="s">
        <v>90</v>
      </c>
      <c r="D313" s="239">
        <v>0</v>
      </c>
      <c r="E313" s="239">
        <v>0</v>
      </c>
      <c r="F313" s="239">
        <v>0</v>
      </c>
      <c r="G313" s="239">
        <v>0</v>
      </c>
    </row>
    <row r="314" spans="3:7" ht="24.75" thickBot="1" x14ac:dyDescent="0.3">
      <c r="C314" s="241" t="s">
        <v>91</v>
      </c>
      <c r="D314" s="239">
        <v>0</v>
      </c>
      <c r="E314" s="239">
        <v>0</v>
      </c>
      <c r="F314" s="239">
        <v>0</v>
      </c>
      <c r="G314" s="239">
        <v>0</v>
      </c>
    </row>
    <row r="315" spans="3:7" ht="24.75" thickBot="1" x14ac:dyDescent="0.3">
      <c r="C315" s="242" t="s">
        <v>320</v>
      </c>
      <c r="D315" s="240">
        <f>D314+D312+D313+D311+D310+D309+D308</f>
        <v>1486117</v>
      </c>
      <c r="E315" s="240">
        <f>E314+E312+E313+E311+E310+E309+E308</f>
        <v>1624419</v>
      </c>
      <c r="F315" s="240">
        <f>F314+F312+F313+F311+F310+F309+F308</f>
        <v>1710582</v>
      </c>
      <c r="G315" s="240">
        <f>G314+G312+G313+G311+G310+G309+G308</f>
        <v>1761899</v>
      </c>
    </row>
    <row r="316" spans="3:7" ht="15.75" thickBot="1" x14ac:dyDescent="0.3">
      <c r="C316" s="243" t="s">
        <v>93</v>
      </c>
      <c r="D316" s="239">
        <f>IF(D315-D300=0,0,"Error")</f>
        <v>0</v>
      </c>
      <c r="E316" s="239">
        <f>IF(E315-E300=0,0,"Error")</f>
        <v>0</v>
      </c>
      <c r="F316" s="239">
        <f>IF(F315-F300=0,0,"Error")</f>
        <v>0</v>
      </c>
      <c r="G316" s="239">
        <f>IF(G315-G300=0,0,"Error")</f>
        <v>0</v>
      </c>
    </row>
    <row r="317" spans="3:7" ht="15.75" thickBot="1" x14ac:dyDescent="0.3">
      <c r="C317" s="428" t="s">
        <v>105</v>
      </c>
      <c r="D317" s="429"/>
      <c r="E317" s="429"/>
      <c r="F317" s="429"/>
      <c r="G317" s="430"/>
    </row>
    <row r="318" spans="3:7" ht="15.75" thickBot="1" x14ac:dyDescent="0.3">
      <c r="C318" s="428" t="s">
        <v>106</v>
      </c>
      <c r="D318" s="429"/>
      <c r="E318" s="429"/>
      <c r="F318" s="429"/>
      <c r="G318" s="430"/>
    </row>
    <row r="319" spans="3:7" ht="15.75" thickBot="1" x14ac:dyDescent="0.3">
      <c r="C319" s="428" t="s">
        <v>105</v>
      </c>
      <c r="D319" s="429"/>
      <c r="E319" s="429"/>
      <c r="F319" s="429"/>
      <c r="G319" s="430"/>
    </row>
    <row r="320" spans="3:7" ht="15" customHeight="1" thickBot="1" x14ac:dyDescent="0.3">
      <c r="C320" s="428" t="s">
        <v>171</v>
      </c>
      <c r="D320" s="429"/>
      <c r="E320" s="429"/>
      <c r="F320" s="429"/>
      <c r="G320" s="430"/>
    </row>
    <row r="321" spans="3:7" ht="15.75" thickBot="1" x14ac:dyDescent="0.3">
      <c r="C321" s="86" t="s">
        <v>260</v>
      </c>
      <c r="D321" s="415" t="s">
        <v>321</v>
      </c>
      <c r="E321" s="416"/>
      <c r="F321" s="416"/>
      <c r="G321" s="417"/>
    </row>
    <row r="322" spans="3:7" ht="15.75" thickBot="1" x14ac:dyDescent="0.3">
      <c r="C322" s="86" t="s">
        <v>116</v>
      </c>
      <c r="D322" s="415" t="s">
        <v>322</v>
      </c>
      <c r="E322" s="416"/>
      <c r="F322" s="416"/>
      <c r="G322" s="417"/>
    </row>
    <row r="323" spans="3:7" ht="15.75" thickBot="1" x14ac:dyDescent="0.3">
      <c r="C323" s="86" t="s">
        <v>73</v>
      </c>
      <c r="D323" s="434" t="s">
        <v>323</v>
      </c>
      <c r="E323" s="435"/>
      <c r="F323" s="435"/>
      <c r="G323" s="436"/>
    </row>
    <row r="324" spans="3:7" ht="15.75" thickBot="1" x14ac:dyDescent="0.3">
      <c r="C324" s="86" t="s">
        <v>75</v>
      </c>
      <c r="D324" s="415" t="s">
        <v>259</v>
      </c>
      <c r="E324" s="416"/>
      <c r="F324" s="416"/>
      <c r="G324" s="417"/>
    </row>
    <row r="325" spans="3:7" x14ac:dyDescent="0.25">
      <c r="C325" s="418"/>
      <c r="D325" s="20">
        <v>2018</v>
      </c>
      <c r="E325" s="20">
        <v>2019</v>
      </c>
      <c r="F325" s="20">
        <v>2020</v>
      </c>
      <c r="G325" s="20">
        <v>2021</v>
      </c>
    </row>
    <row r="326" spans="3:7" ht="15.75" thickBot="1" x14ac:dyDescent="0.3">
      <c r="C326" s="419"/>
      <c r="D326" s="21" t="s">
        <v>42</v>
      </c>
      <c r="E326" s="21" t="s">
        <v>43</v>
      </c>
      <c r="F326" s="21" t="s">
        <v>43</v>
      </c>
      <c r="G326" s="21" t="s">
        <v>43</v>
      </c>
    </row>
    <row r="327" spans="3:7" ht="15.75" thickBot="1" x14ac:dyDescent="0.3">
      <c r="C327" s="231" t="s">
        <v>77</v>
      </c>
      <c r="D327" s="233">
        <v>0</v>
      </c>
      <c r="E327" s="233">
        <v>0</v>
      </c>
      <c r="F327" s="233">
        <v>0</v>
      </c>
      <c r="G327" s="233">
        <v>3</v>
      </c>
    </row>
    <row r="328" spans="3:7" ht="15.75" thickBot="1" x14ac:dyDescent="0.3">
      <c r="C328" s="231" t="s">
        <v>78</v>
      </c>
      <c r="D328" s="233">
        <v>0</v>
      </c>
      <c r="E328" s="233">
        <v>0</v>
      </c>
      <c r="F328" s="233">
        <v>0</v>
      </c>
      <c r="G328" s="233">
        <v>134100</v>
      </c>
    </row>
    <row r="329" spans="3:7" ht="15.75" thickBot="1" x14ac:dyDescent="0.3">
      <c r="C329" s="231" t="s">
        <v>79</v>
      </c>
      <c r="D329" s="233">
        <v>0</v>
      </c>
      <c r="E329" s="233">
        <v>0</v>
      </c>
      <c r="F329" s="233">
        <v>0</v>
      </c>
      <c r="G329" s="233">
        <f t="shared" ref="G329" si="33">G328/G327</f>
        <v>44700</v>
      </c>
    </row>
    <row r="330" spans="3:7" ht="15.75" thickBot="1" x14ac:dyDescent="0.3">
      <c r="C330" s="231" t="s">
        <v>80</v>
      </c>
      <c r="D330" s="234" t="s">
        <v>81</v>
      </c>
      <c r="E330" s="235">
        <v>0</v>
      </c>
      <c r="F330" s="235">
        <v>0</v>
      </c>
      <c r="G330" s="235">
        <v>1</v>
      </c>
    </row>
    <row r="331" spans="3:7" ht="15.75" thickBot="1" x14ac:dyDescent="0.3">
      <c r="C331" s="231" t="s">
        <v>82</v>
      </c>
      <c r="D331" s="234" t="s">
        <v>81</v>
      </c>
      <c r="E331" s="235">
        <v>0</v>
      </c>
      <c r="F331" s="235">
        <v>0</v>
      </c>
      <c r="G331" s="235">
        <v>0</v>
      </c>
    </row>
    <row r="332" spans="3:7" ht="15.75" thickBot="1" x14ac:dyDescent="0.3">
      <c r="C332" s="231" t="s">
        <v>83</v>
      </c>
      <c r="D332" s="234" t="s">
        <v>81</v>
      </c>
      <c r="E332" s="235">
        <v>0</v>
      </c>
      <c r="F332" s="235">
        <v>0</v>
      </c>
      <c r="G332" s="235">
        <v>0</v>
      </c>
    </row>
    <row r="333" spans="3:7" ht="15.75" customHeight="1" thickBot="1" x14ac:dyDescent="0.3">
      <c r="C333" s="392" t="s">
        <v>135</v>
      </c>
      <c r="D333" s="393"/>
      <c r="E333" s="393"/>
      <c r="F333" s="393"/>
      <c r="G333" s="394"/>
    </row>
    <row r="334" spans="3:7" x14ac:dyDescent="0.25">
      <c r="C334" s="418"/>
      <c r="D334" s="20">
        <v>2018</v>
      </c>
      <c r="E334" s="20">
        <v>2019</v>
      </c>
      <c r="F334" s="20">
        <v>2020</v>
      </c>
      <c r="G334" s="20">
        <v>2021</v>
      </c>
    </row>
    <row r="335" spans="3:7" ht="15.75" thickBot="1" x14ac:dyDescent="0.3">
      <c r="C335" s="419"/>
      <c r="D335" s="21" t="s">
        <v>42</v>
      </c>
      <c r="E335" s="21" t="s">
        <v>43</v>
      </c>
      <c r="F335" s="21" t="s">
        <v>43</v>
      </c>
      <c r="G335" s="21" t="s">
        <v>43</v>
      </c>
    </row>
    <row r="336" spans="3:7" ht="15.75" thickBot="1" x14ac:dyDescent="0.3">
      <c r="C336" s="236" t="s">
        <v>170</v>
      </c>
      <c r="D336" s="239">
        <v>0</v>
      </c>
      <c r="E336" s="239">
        <v>0</v>
      </c>
      <c r="F336" s="239">
        <v>0</v>
      </c>
      <c r="G336" s="239">
        <v>0</v>
      </c>
    </row>
    <row r="337" spans="3:7" ht="15.75" thickBot="1" x14ac:dyDescent="0.3">
      <c r="C337" s="236" t="s">
        <v>113</v>
      </c>
      <c r="D337" s="240"/>
      <c r="E337" s="239"/>
      <c r="F337" s="239"/>
      <c r="G337" s="239">
        <v>134100</v>
      </c>
    </row>
    <row r="338" spans="3:7" ht="15.75" thickBot="1" x14ac:dyDescent="0.3">
      <c r="C338" s="238" t="s">
        <v>265</v>
      </c>
      <c r="D338" s="240">
        <f>D337+D336</f>
        <v>0</v>
      </c>
      <c r="E338" s="240">
        <f t="shared" ref="E338:G338" si="34">E337+E336</f>
        <v>0</v>
      </c>
      <c r="F338" s="240">
        <f t="shared" si="34"/>
        <v>0</v>
      </c>
      <c r="G338" s="240">
        <f t="shared" si="34"/>
        <v>134100</v>
      </c>
    </row>
    <row r="339" spans="3:7" ht="15.75" thickBot="1" x14ac:dyDescent="0.3">
      <c r="C339" s="428" t="s">
        <v>105</v>
      </c>
      <c r="D339" s="429"/>
      <c r="E339" s="429"/>
      <c r="F339" s="429"/>
      <c r="G339" s="430"/>
    </row>
    <row r="340" spans="3:7" ht="15.75" thickBot="1" x14ac:dyDescent="0.3">
      <c r="C340" s="428" t="s">
        <v>171</v>
      </c>
      <c r="D340" s="429"/>
      <c r="E340" s="429"/>
      <c r="F340" s="429"/>
      <c r="G340" s="430"/>
    </row>
    <row r="341" spans="3:7" ht="15.75" thickBot="1" x14ac:dyDescent="0.3">
      <c r="C341" s="86" t="s">
        <v>260</v>
      </c>
      <c r="D341" s="415" t="s">
        <v>324</v>
      </c>
      <c r="E341" s="416"/>
      <c r="F341" s="416"/>
      <c r="G341" s="417"/>
    </row>
    <row r="342" spans="3:7" ht="15.75" customHeight="1" thickBot="1" x14ac:dyDescent="0.3">
      <c r="C342" s="86" t="s">
        <v>267</v>
      </c>
      <c r="D342" s="415" t="s">
        <v>325</v>
      </c>
      <c r="E342" s="416"/>
      <c r="F342" s="416"/>
      <c r="G342" s="417"/>
    </row>
    <row r="343" spans="3:7" ht="26.25" customHeight="1" thickBot="1" x14ac:dyDescent="0.3">
      <c r="C343" s="86" t="s">
        <v>73</v>
      </c>
      <c r="D343" s="434" t="s">
        <v>326</v>
      </c>
      <c r="E343" s="435"/>
      <c r="F343" s="435"/>
      <c r="G343" s="436"/>
    </row>
    <row r="344" spans="3:7" ht="15.75" thickBot="1" x14ac:dyDescent="0.3">
      <c r="C344" s="86" t="s">
        <v>75</v>
      </c>
      <c r="D344" s="415" t="s">
        <v>327</v>
      </c>
      <c r="E344" s="416"/>
      <c r="F344" s="416"/>
      <c r="G344" s="417"/>
    </row>
    <row r="345" spans="3:7" x14ac:dyDescent="0.25">
      <c r="C345" s="418"/>
      <c r="D345" s="20">
        <v>2018</v>
      </c>
      <c r="E345" s="20">
        <v>2019</v>
      </c>
      <c r="F345" s="20">
        <v>2020</v>
      </c>
      <c r="G345" s="20">
        <v>2021</v>
      </c>
    </row>
    <row r="346" spans="3:7" ht="15.75" thickBot="1" x14ac:dyDescent="0.3">
      <c r="C346" s="419"/>
      <c r="D346" s="21" t="s">
        <v>42</v>
      </c>
      <c r="E346" s="21" t="s">
        <v>43</v>
      </c>
      <c r="F346" s="21" t="s">
        <v>43</v>
      </c>
      <c r="G346" s="21" t="s">
        <v>43</v>
      </c>
    </row>
    <row r="347" spans="3:7" ht="15.75" thickBot="1" x14ac:dyDescent="0.3">
      <c r="C347" s="231" t="s">
        <v>77</v>
      </c>
      <c r="D347" s="233">
        <v>1</v>
      </c>
      <c r="E347" s="233"/>
      <c r="F347" s="233"/>
      <c r="G347" s="233"/>
    </row>
    <row r="348" spans="3:7" ht="15.75" thickBot="1" x14ac:dyDescent="0.3">
      <c r="C348" s="231" t="s">
        <v>78</v>
      </c>
      <c r="D348" s="233">
        <v>8931</v>
      </c>
      <c r="E348" s="233"/>
      <c r="F348" s="233"/>
      <c r="G348" s="233"/>
    </row>
    <row r="349" spans="3:7" ht="15.75" thickBot="1" x14ac:dyDescent="0.3">
      <c r="C349" s="231" t="s">
        <v>79</v>
      </c>
      <c r="D349" s="233">
        <f>D348/D347</f>
        <v>8931</v>
      </c>
      <c r="E349" s="233">
        <v>0</v>
      </c>
      <c r="F349" s="233">
        <v>0</v>
      </c>
      <c r="G349" s="233">
        <v>0</v>
      </c>
    </row>
    <row r="350" spans="3:7" ht="15.75" thickBot="1" x14ac:dyDescent="0.3">
      <c r="C350" s="231" t="s">
        <v>80</v>
      </c>
      <c r="D350" s="234" t="s">
        <v>81</v>
      </c>
      <c r="E350" s="235">
        <f>E347/D347-1</f>
        <v>-1</v>
      </c>
      <c r="F350" s="235"/>
      <c r="G350" s="235"/>
    </row>
    <row r="351" spans="3:7" ht="15.75" thickBot="1" x14ac:dyDescent="0.3">
      <c r="C351" s="231" t="s">
        <v>82</v>
      </c>
      <c r="D351" s="234" t="s">
        <v>81</v>
      </c>
      <c r="E351" s="235">
        <f>E348/D348-1</f>
        <v>-1</v>
      </c>
      <c r="F351" s="235"/>
      <c r="G351" s="235"/>
    </row>
    <row r="352" spans="3:7" ht="15.75" thickBot="1" x14ac:dyDescent="0.3">
      <c r="C352" s="231" t="s">
        <v>83</v>
      </c>
      <c r="D352" s="234" t="s">
        <v>81</v>
      </c>
      <c r="E352" s="235">
        <f>E349/D349-1</f>
        <v>-1</v>
      </c>
      <c r="F352" s="235"/>
      <c r="G352" s="235"/>
    </row>
    <row r="353" spans="3:7" ht="15.75" customHeight="1" thickBot="1" x14ac:dyDescent="0.3">
      <c r="C353" s="392" t="s">
        <v>269</v>
      </c>
      <c r="D353" s="393"/>
      <c r="E353" s="393"/>
      <c r="F353" s="393"/>
      <c r="G353" s="394"/>
    </row>
    <row r="354" spans="3:7" x14ac:dyDescent="0.25">
      <c r="C354" s="418"/>
      <c r="D354" s="20">
        <v>2018</v>
      </c>
      <c r="E354" s="20">
        <v>2019</v>
      </c>
      <c r="F354" s="20">
        <v>2020</v>
      </c>
      <c r="G354" s="20">
        <v>2021</v>
      </c>
    </row>
    <row r="355" spans="3:7" ht="15.75" thickBot="1" x14ac:dyDescent="0.3">
      <c r="C355" s="419"/>
      <c r="D355" s="21" t="s">
        <v>42</v>
      </c>
      <c r="E355" s="21" t="s">
        <v>43</v>
      </c>
      <c r="F355" s="21" t="s">
        <v>43</v>
      </c>
      <c r="G355" s="21" t="s">
        <v>43</v>
      </c>
    </row>
    <row r="356" spans="3:7" ht="15.75" thickBot="1" x14ac:dyDescent="0.3">
      <c r="C356" s="236" t="s">
        <v>170</v>
      </c>
      <c r="D356" s="239">
        <v>8931</v>
      </c>
      <c r="E356" s="239"/>
      <c r="F356" s="239"/>
      <c r="G356" s="239"/>
    </row>
    <row r="357" spans="3:7" x14ac:dyDescent="0.25">
      <c r="C357" s="241" t="s">
        <v>113</v>
      </c>
      <c r="D357" s="246"/>
      <c r="E357" s="247"/>
      <c r="F357" s="247"/>
      <c r="G357" s="247"/>
    </row>
    <row r="358" spans="3:7" x14ac:dyDescent="0.25">
      <c r="C358" s="248" t="s">
        <v>270</v>
      </c>
      <c r="D358" s="252">
        <f>D356+D357</f>
        <v>8931</v>
      </c>
      <c r="E358" s="249">
        <f t="shared" ref="E358:G358" si="35">E356+E357</f>
        <v>0</v>
      </c>
      <c r="F358" s="249">
        <f t="shared" si="35"/>
        <v>0</v>
      </c>
      <c r="G358" s="250">
        <f t="shared" si="35"/>
        <v>0</v>
      </c>
    </row>
    <row r="359" spans="3:7" ht="15.75" thickBot="1" x14ac:dyDescent="0.3">
      <c r="C359" s="93"/>
      <c r="D359" s="80"/>
      <c r="E359" s="80"/>
      <c r="F359" s="80"/>
      <c r="G359" s="80"/>
    </row>
    <row r="360" spans="3:7" ht="30.75" customHeight="1" thickBot="1" x14ac:dyDescent="0.3">
      <c r="C360" s="51" t="s">
        <v>328</v>
      </c>
      <c r="D360" s="78">
        <f>D358+D338+D315+D292+D269+D236+D218+D200+D182+D164+D146+D126+D108+D90+D69+D46</f>
        <v>3805155</v>
      </c>
      <c r="E360" s="78">
        <f>E358+E338+E315+E292+E269+E236+E218+E200+E182+E164+E146+E126+E108+E90+E69+E46</f>
        <v>3612227</v>
      </c>
      <c r="F360" s="78">
        <f>F358+F338+F315+F292+F269+F236+F218+F200+F182+F164+F146+F126+F108+F90+F69+F46</f>
        <v>3623220</v>
      </c>
      <c r="G360" s="78">
        <f>G358+G338+G315+G292+G269+G236+G218+G200+G182+G164+G146+G126+G108+G90+G69+G46</f>
        <v>3723220</v>
      </c>
    </row>
    <row r="361" spans="3:7" ht="26.25" customHeight="1" thickBot="1" x14ac:dyDescent="0.3">
      <c r="C361" s="51" t="s">
        <v>329</v>
      </c>
      <c r="D361" s="78">
        <f>D363+D365+D367+D373+D375+D377+D379</f>
        <v>3805155</v>
      </c>
      <c r="E361" s="78">
        <f>E363+E365+E367+E369+E371+E373+E375+E377+E379</f>
        <v>3612227</v>
      </c>
      <c r="F361" s="78">
        <f>F363+F365+F367+F369+F371+F373+F375+F377+F379</f>
        <v>3623220</v>
      </c>
      <c r="G361" s="78">
        <f>G363+G365+G367+G369+G371+G373+G375+G377+G379</f>
        <v>3723220</v>
      </c>
    </row>
    <row r="362" spans="3:7" ht="23.25" customHeight="1" thickBot="1" x14ac:dyDescent="0.3">
      <c r="C362" s="255" t="s">
        <v>124</v>
      </c>
      <c r="D362" s="80"/>
      <c r="E362" s="254">
        <f>E361/D361-1</f>
        <v>-5.0701745395391296E-2</v>
      </c>
      <c r="F362" s="254">
        <f t="shared" ref="F362:G362" si="36">F361/E361-1</f>
        <v>3.043274965831344E-3</v>
      </c>
      <c r="G362" s="254">
        <f t="shared" si="36"/>
        <v>2.7599759330098728E-2</v>
      </c>
    </row>
    <row r="363" spans="3:7" ht="15.75" thickBot="1" x14ac:dyDescent="0.3">
      <c r="C363" s="236" t="s">
        <v>85</v>
      </c>
      <c r="D363" s="239">
        <f>D285+D262+D62+D39</f>
        <v>1072000</v>
      </c>
      <c r="E363" s="239">
        <f>E285+E262+E62+E39</f>
        <v>1110051</v>
      </c>
      <c r="F363" s="239">
        <f>F285+F262+F62+F39</f>
        <v>1110051</v>
      </c>
      <c r="G363" s="239">
        <f>G285+G262+G62+G39</f>
        <v>1110051</v>
      </c>
    </row>
    <row r="364" spans="3:7" ht="15.75" thickBot="1" x14ac:dyDescent="0.3">
      <c r="C364" s="244" t="s">
        <v>125</v>
      </c>
      <c r="D364" s="240"/>
      <c r="E364" s="253">
        <f>E363/D363-1</f>
        <v>3.549533582089559E-2</v>
      </c>
      <c r="F364" s="253">
        <f t="shared" ref="F364:G364" si="37">F363/E363-1</f>
        <v>0</v>
      </c>
      <c r="G364" s="253">
        <f t="shared" si="37"/>
        <v>0</v>
      </c>
    </row>
    <row r="365" spans="3:7" ht="24.75" thickBot="1" x14ac:dyDescent="0.3">
      <c r="C365" s="236" t="s">
        <v>86</v>
      </c>
      <c r="D365" s="239">
        <f>D286+D263+D63+D40</f>
        <v>167000</v>
      </c>
      <c r="E365" s="239">
        <f>E286+E263+E63+E40</f>
        <v>185573</v>
      </c>
      <c r="F365" s="239">
        <f>F286+F263+F63+F40</f>
        <v>185573</v>
      </c>
      <c r="G365" s="239">
        <f>G286+G263+G63+G40</f>
        <v>185573</v>
      </c>
    </row>
    <row r="366" spans="3:7" ht="24.75" thickBot="1" x14ac:dyDescent="0.3">
      <c r="C366" s="244" t="s">
        <v>126</v>
      </c>
      <c r="D366" s="240"/>
      <c r="E366" s="253">
        <f>E365/D365-1</f>
        <v>0.11121556886227535</v>
      </c>
      <c r="F366" s="253">
        <f t="shared" ref="F366:G366" si="38">F365/E365-1</f>
        <v>0</v>
      </c>
      <c r="G366" s="253">
        <f t="shared" si="38"/>
        <v>0</v>
      </c>
    </row>
    <row r="367" spans="3:7" ht="15.75" thickBot="1" x14ac:dyDescent="0.3">
      <c r="C367" s="236" t="s">
        <v>87</v>
      </c>
      <c r="D367" s="239">
        <f>D41+D64+D264+D287+D310</f>
        <v>1980000</v>
      </c>
      <c r="E367" s="239">
        <f>E41+E64+E264+E287+E310</f>
        <v>2016060</v>
      </c>
      <c r="F367" s="239">
        <f>F41+F64+F264+F287+F310</f>
        <v>2085079</v>
      </c>
      <c r="G367" s="239">
        <f>G41+G64+G264+G287+G310</f>
        <v>2194812</v>
      </c>
    </row>
    <row r="368" spans="3:7" ht="24.75" thickBot="1" x14ac:dyDescent="0.3">
      <c r="C368" s="244" t="s">
        <v>127</v>
      </c>
      <c r="D368" s="240"/>
      <c r="E368" s="253">
        <f>E367/D367-1</f>
        <v>1.8212121212121124E-2</v>
      </c>
      <c r="F368" s="253">
        <f t="shared" ref="F368:G368" si="39">F367/E367-1</f>
        <v>3.423459619257363E-2</v>
      </c>
      <c r="G368" s="253">
        <f t="shared" si="39"/>
        <v>5.2627742162287383E-2</v>
      </c>
    </row>
    <row r="369" spans="3:7" ht="15.75" thickBot="1" x14ac:dyDescent="0.3">
      <c r="C369" s="236" t="s">
        <v>88</v>
      </c>
      <c r="D369" s="239">
        <f>D288+D265+D65+D42</f>
        <v>0</v>
      </c>
      <c r="E369" s="239">
        <f>E288+E265+E65+E42</f>
        <v>0</v>
      </c>
      <c r="F369" s="239">
        <f>F288+F265+F65+F42</f>
        <v>0</v>
      </c>
      <c r="G369" s="239">
        <f>G288+G265+G65+G42</f>
        <v>0</v>
      </c>
    </row>
    <row r="370" spans="3:7" ht="15.75" thickBot="1" x14ac:dyDescent="0.3">
      <c r="C370" s="244" t="s">
        <v>231</v>
      </c>
      <c r="D370" s="240"/>
      <c r="E370" s="253">
        <v>0</v>
      </c>
      <c r="F370" s="253">
        <v>0</v>
      </c>
      <c r="G370" s="253">
        <v>0</v>
      </c>
    </row>
    <row r="371" spans="3:7" ht="15.75" thickBot="1" x14ac:dyDescent="0.3">
      <c r="C371" s="236" t="s">
        <v>89</v>
      </c>
      <c r="D371" s="239">
        <f>D289+D266+D66+D43</f>
        <v>0</v>
      </c>
      <c r="E371" s="239">
        <f>E289+E266+E66+E43</f>
        <v>0</v>
      </c>
      <c r="F371" s="239">
        <f>F289+F266+F66+F43</f>
        <v>0</v>
      </c>
      <c r="G371" s="239">
        <f>G289+G266+G66+G43</f>
        <v>0</v>
      </c>
    </row>
    <row r="372" spans="3:7" ht="24.75" thickBot="1" x14ac:dyDescent="0.3">
      <c r="C372" s="244" t="s">
        <v>232</v>
      </c>
      <c r="D372" s="240"/>
      <c r="E372" s="253">
        <v>0</v>
      </c>
      <c r="F372" s="253">
        <v>0</v>
      </c>
      <c r="G372" s="253">
        <v>0</v>
      </c>
    </row>
    <row r="373" spans="3:7" ht="15.75" thickBot="1" x14ac:dyDescent="0.3">
      <c r="C373" s="236" t="s">
        <v>90</v>
      </c>
      <c r="D373" s="239">
        <f>D290+D267+D67+D44</f>
        <v>9618</v>
      </c>
      <c r="E373" s="239">
        <f>E290+E267+E67+E44</f>
        <v>18316</v>
      </c>
      <c r="F373" s="239">
        <f>F290+F267+F67+F44</f>
        <v>19297</v>
      </c>
      <c r="G373" s="239">
        <f>G290+G267+G67+G44</f>
        <v>9564</v>
      </c>
    </row>
    <row r="374" spans="3:7" ht="15.75" thickBot="1" x14ac:dyDescent="0.3">
      <c r="C374" s="244" t="s">
        <v>233</v>
      </c>
      <c r="D374" s="240"/>
      <c r="E374" s="253">
        <f>E373/D373-1</f>
        <v>0.90434601788313573</v>
      </c>
      <c r="F374" s="253">
        <f t="shared" ref="F374:G374" si="40">F373/E373-1</f>
        <v>5.3559729198515038E-2</v>
      </c>
      <c r="G374" s="253">
        <f t="shared" si="40"/>
        <v>-0.50437891900295384</v>
      </c>
    </row>
    <row r="375" spans="3:7" ht="24.75" thickBot="1" x14ac:dyDescent="0.3">
      <c r="C375" s="236" t="s">
        <v>91</v>
      </c>
      <c r="D375" s="239">
        <f>D291+D268+D68+D45</f>
        <v>1537</v>
      </c>
      <c r="E375" s="239">
        <f>E291+E268+E68+E45</f>
        <v>0</v>
      </c>
      <c r="F375" s="239">
        <f>F291+F268+F68+F45</f>
        <v>0</v>
      </c>
      <c r="G375" s="239">
        <f>G291+G268+G68+G45</f>
        <v>0</v>
      </c>
    </row>
    <row r="376" spans="3:7" ht="24.75" thickBot="1" x14ac:dyDescent="0.3">
      <c r="C376" s="244" t="s">
        <v>234</v>
      </c>
      <c r="D376" s="240"/>
      <c r="E376" s="253">
        <v>0</v>
      </c>
      <c r="F376" s="253">
        <v>0</v>
      </c>
      <c r="G376" s="253">
        <v>0</v>
      </c>
    </row>
    <row r="377" spans="3:7" ht="15.75" thickBot="1" x14ac:dyDescent="0.3">
      <c r="C377" s="236" t="s">
        <v>128</v>
      </c>
      <c r="D377" s="239">
        <f>D356+D336+D234+D216+D180+D162+D106+D89</f>
        <v>301184</v>
      </c>
      <c r="E377" s="239">
        <f>E88+E124+E144+E162+E180+E356</f>
        <v>262550</v>
      </c>
      <c r="F377" s="239">
        <f>F356+F336+F234+F216+F180+F162+F106+F89</f>
        <v>28410</v>
      </c>
      <c r="G377" s="239">
        <f>G356+G336+G234+G216+G180+G162+G106+G89</f>
        <v>32069</v>
      </c>
    </row>
    <row r="378" spans="3:7" ht="15" customHeight="1" thickBot="1" x14ac:dyDescent="0.3">
      <c r="C378" s="244" t="s">
        <v>129</v>
      </c>
      <c r="D378" s="240"/>
      <c r="E378" s="253">
        <f>E377/D377-1</f>
        <v>-0.12827374628134292</v>
      </c>
      <c r="F378" s="253">
        <f t="shared" ref="F378:G378" si="41">F377/E377-1</f>
        <v>-0.89179203961150255</v>
      </c>
      <c r="G378" s="253">
        <f t="shared" si="41"/>
        <v>0.12879267863428367</v>
      </c>
    </row>
    <row r="379" spans="3:7" ht="15.75" thickBot="1" x14ac:dyDescent="0.3">
      <c r="C379" s="236" t="s">
        <v>235</v>
      </c>
      <c r="D379" s="239">
        <f>D337+D235+D217+D199+D181+D163+D145+D125+D107</f>
        <v>273816</v>
      </c>
      <c r="E379" s="239">
        <f>E337+E235+E217+E199+E181+E163+E145+E125+E107+E89</f>
        <v>19677</v>
      </c>
      <c r="F379" s="239">
        <f t="shared" ref="F379:G379" si="42">F337+F235+F217+F199+F181+F163+F145+F125+F107</f>
        <v>194810</v>
      </c>
      <c r="G379" s="239">
        <f t="shared" si="42"/>
        <v>191151</v>
      </c>
    </row>
    <row r="380" spans="3:7" ht="15.75" thickBot="1" x14ac:dyDescent="0.3">
      <c r="C380" s="244" t="s">
        <v>236</v>
      </c>
      <c r="D380" s="240"/>
      <c r="E380" s="253">
        <f>E379/D379-1</f>
        <v>-0.9281378736085546</v>
      </c>
      <c r="F380" s="253">
        <f>F379/E379</f>
        <v>9.9003913198150126</v>
      </c>
      <c r="G380" s="253">
        <f t="shared" ref="G380" si="43">G379/F379-1</f>
        <v>-1.8782403367383571E-2</v>
      </c>
    </row>
    <row r="381" spans="3:7" ht="15.75" thickBot="1" x14ac:dyDescent="0.3">
      <c r="C381" s="85" t="s">
        <v>93</v>
      </c>
      <c r="D381" s="239">
        <f>IF(D361-D360=0,0,"Error")</f>
        <v>0</v>
      </c>
      <c r="E381" s="239">
        <f t="shared" ref="E381:G381" si="44">IF(E361-E360=0,0,"Error")</f>
        <v>0</v>
      </c>
      <c r="F381" s="239">
        <f t="shared" si="44"/>
        <v>0</v>
      </c>
      <c r="G381" s="239">
        <f t="shared" si="44"/>
        <v>0</v>
      </c>
    </row>
    <row r="382" spans="3:7" ht="24.75" thickBot="1" x14ac:dyDescent="0.3">
      <c r="C382" s="88" t="s">
        <v>130</v>
      </c>
      <c r="D382" s="239">
        <v>1102</v>
      </c>
      <c r="E382" s="239">
        <v>1102</v>
      </c>
      <c r="F382" s="239">
        <v>1102</v>
      </c>
      <c r="G382" s="239">
        <v>1102</v>
      </c>
    </row>
    <row r="383" spans="3:7" ht="24.75" thickBot="1" x14ac:dyDescent="0.3">
      <c r="C383" s="88" t="s">
        <v>131</v>
      </c>
      <c r="D383" s="239">
        <v>147</v>
      </c>
      <c r="E383" s="239">
        <v>147</v>
      </c>
      <c r="F383" s="239">
        <v>147</v>
      </c>
      <c r="G383" s="239">
        <v>147</v>
      </c>
    </row>
  </sheetData>
  <mergeCells count="135">
    <mergeCell ref="C345:C346"/>
    <mergeCell ref="C353:G353"/>
    <mergeCell ref="C354:C355"/>
    <mergeCell ref="C339:G339"/>
    <mergeCell ref="C340:G340"/>
    <mergeCell ref="D341:G341"/>
    <mergeCell ref="D342:G342"/>
    <mergeCell ref="D343:G343"/>
    <mergeCell ref="D344:G344"/>
    <mergeCell ref="D322:G322"/>
    <mergeCell ref="D323:G323"/>
    <mergeCell ref="D324:G324"/>
    <mergeCell ref="C325:C326"/>
    <mergeCell ref="C333:G333"/>
    <mergeCell ref="C334:C335"/>
    <mergeCell ref="C306:C307"/>
    <mergeCell ref="C317:G317"/>
    <mergeCell ref="C318:G318"/>
    <mergeCell ref="C319:G319"/>
    <mergeCell ref="C320:G320"/>
    <mergeCell ref="D321:G321"/>
    <mergeCell ref="C283:C284"/>
    <mergeCell ref="D294:G294"/>
    <mergeCell ref="D295:G295"/>
    <mergeCell ref="D296:G296"/>
    <mergeCell ref="C297:C298"/>
    <mergeCell ref="C305:G305"/>
    <mergeCell ref="C260:C261"/>
    <mergeCell ref="D271:G271"/>
    <mergeCell ref="D272:G272"/>
    <mergeCell ref="D273:G273"/>
    <mergeCell ref="C274:C275"/>
    <mergeCell ref="C282:G282"/>
    <mergeCell ref="D246:G246"/>
    <mergeCell ref="D247:G247"/>
    <mergeCell ref="D248:G248"/>
    <mergeCell ref="C249:C250"/>
    <mergeCell ref="C257:C258"/>
    <mergeCell ref="C259:G259"/>
    <mergeCell ref="C232:C233"/>
    <mergeCell ref="D238:G238"/>
    <mergeCell ref="C239:G239"/>
    <mergeCell ref="C242:G242"/>
    <mergeCell ref="C243:G243"/>
    <mergeCell ref="C244:C245"/>
    <mergeCell ref="D219:G219"/>
    <mergeCell ref="D220:G220"/>
    <mergeCell ref="D221:G221"/>
    <mergeCell ref="D222:G222"/>
    <mergeCell ref="C223:C224"/>
    <mergeCell ref="C231:G231"/>
    <mergeCell ref="D202:G202"/>
    <mergeCell ref="D203:G203"/>
    <mergeCell ref="D204:G204"/>
    <mergeCell ref="C205:C206"/>
    <mergeCell ref="C213:G213"/>
    <mergeCell ref="C214:C215"/>
    <mergeCell ref="D185:G185"/>
    <mergeCell ref="D186:G186"/>
    <mergeCell ref="C187:C188"/>
    <mergeCell ref="C195:G195"/>
    <mergeCell ref="C196:C197"/>
    <mergeCell ref="D201:G201"/>
    <mergeCell ref="D168:G168"/>
    <mergeCell ref="C169:C170"/>
    <mergeCell ref="C177:G177"/>
    <mergeCell ref="C178:C179"/>
    <mergeCell ref="D183:G183"/>
    <mergeCell ref="D184:G184"/>
    <mergeCell ref="C151:C152"/>
    <mergeCell ref="C159:G159"/>
    <mergeCell ref="C160:C161"/>
    <mergeCell ref="D165:G165"/>
    <mergeCell ref="D166:G166"/>
    <mergeCell ref="D167:G167"/>
    <mergeCell ref="C141:G141"/>
    <mergeCell ref="C142:C143"/>
    <mergeCell ref="D147:G147"/>
    <mergeCell ref="D148:G148"/>
    <mergeCell ref="D149:G149"/>
    <mergeCell ref="D150:G150"/>
    <mergeCell ref="C128:G128"/>
    <mergeCell ref="D129:G129"/>
    <mergeCell ref="D130:G130"/>
    <mergeCell ref="D131:G131"/>
    <mergeCell ref="D132:G132"/>
    <mergeCell ref="C133:C134"/>
    <mergeCell ref="D111:G111"/>
    <mergeCell ref="D112:G112"/>
    <mergeCell ref="C113:C114"/>
    <mergeCell ref="C121:G121"/>
    <mergeCell ref="C122:C123"/>
    <mergeCell ref="C127:G127"/>
    <mergeCell ref="D94:G94"/>
    <mergeCell ref="C95:C96"/>
    <mergeCell ref="C103:G103"/>
    <mergeCell ref="C104:C105"/>
    <mergeCell ref="D109:G109"/>
    <mergeCell ref="D110:G110"/>
    <mergeCell ref="C77:C78"/>
    <mergeCell ref="C85:G85"/>
    <mergeCell ref="C86:C87"/>
    <mergeCell ref="D91:G91"/>
    <mergeCell ref="D92:G92"/>
    <mergeCell ref="D93:G93"/>
    <mergeCell ref="C71:G71"/>
    <mergeCell ref="C72:G72"/>
    <mergeCell ref="D73:G73"/>
    <mergeCell ref="D74:G74"/>
    <mergeCell ref="D75:G75"/>
    <mergeCell ref="D76:G76"/>
    <mergeCell ref="D48:G48"/>
    <mergeCell ref="D49:G49"/>
    <mergeCell ref="D50:G50"/>
    <mergeCell ref="C52:C53"/>
    <mergeCell ref="C59:G59"/>
    <mergeCell ref="C60:C61"/>
    <mergeCell ref="C28:C29"/>
    <mergeCell ref="C36:G36"/>
    <mergeCell ref="C37:C38"/>
    <mergeCell ref="D11:G11"/>
    <mergeCell ref="C12:C13"/>
    <mergeCell ref="D15:G15"/>
    <mergeCell ref="C16:G16"/>
    <mergeCell ref="C23:G23"/>
    <mergeCell ref="C24:G24"/>
    <mergeCell ref="C2:G2"/>
    <mergeCell ref="D4:G4"/>
    <mergeCell ref="D5:G5"/>
    <mergeCell ref="D6:G6"/>
    <mergeCell ref="C7:G7"/>
    <mergeCell ref="C8:G10"/>
    <mergeCell ref="D25:G25"/>
    <mergeCell ref="D26:G26"/>
    <mergeCell ref="D27:G2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H138"/>
  <sheetViews>
    <sheetView zoomScale="140" zoomScaleNormal="140" workbookViewId="0">
      <selection activeCell="F148" sqref="F148"/>
    </sheetView>
  </sheetViews>
  <sheetFormatPr defaultRowHeight="15" x14ac:dyDescent="0.25"/>
  <cols>
    <col min="2" max="2" width="0" hidden="1" customWidth="1"/>
    <col min="4" max="4" width="35" customWidth="1"/>
    <col min="5" max="7" width="21.42578125" customWidth="1"/>
    <col min="8" max="8" width="31.7109375" customWidth="1"/>
  </cols>
  <sheetData>
    <row r="2" spans="4:8" x14ac:dyDescent="0.25">
      <c r="D2" s="376" t="s">
        <v>33</v>
      </c>
      <c r="E2" s="376"/>
      <c r="F2" s="376"/>
      <c r="G2" s="376"/>
      <c r="H2" s="376"/>
    </row>
    <row r="3" spans="4:8" ht="15.75" thickBot="1" x14ac:dyDescent="0.3"/>
    <row r="4" spans="4:8" ht="15.75" thickBot="1" x14ac:dyDescent="0.3">
      <c r="D4" s="9" t="s">
        <v>34</v>
      </c>
      <c r="E4" s="402" t="s">
        <v>330</v>
      </c>
      <c r="F4" s="402"/>
      <c r="G4" s="402"/>
      <c r="H4" s="402"/>
    </row>
    <row r="5" spans="4:8" ht="15.75" thickBot="1" x14ac:dyDescent="0.3">
      <c r="D5" s="9" t="s">
        <v>6</v>
      </c>
      <c r="E5" s="403" t="s">
        <v>9</v>
      </c>
      <c r="F5" s="404"/>
      <c r="G5" s="404"/>
      <c r="H5" s="405"/>
    </row>
    <row r="6" spans="4:8" ht="15.75" thickBot="1" x14ac:dyDescent="0.3">
      <c r="D6" s="9" t="s">
        <v>36</v>
      </c>
      <c r="E6" s="406" t="s">
        <v>37</v>
      </c>
      <c r="F6" s="407"/>
      <c r="G6" s="407"/>
      <c r="H6" s="408"/>
    </row>
    <row r="7" spans="4:8" ht="15.75" thickBot="1" x14ac:dyDescent="0.3">
      <c r="D7" s="409" t="s">
        <v>7</v>
      </c>
      <c r="E7" s="410"/>
      <c r="F7" s="410"/>
      <c r="G7" s="410"/>
      <c r="H7" s="411"/>
    </row>
    <row r="8" spans="4:8" ht="15" customHeight="1" thickBot="1" x14ac:dyDescent="0.3">
      <c r="D8" s="412" t="s">
        <v>331</v>
      </c>
      <c r="E8" s="413"/>
      <c r="F8" s="413"/>
      <c r="G8" s="413"/>
      <c r="H8" s="414"/>
    </row>
    <row r="9" spans="4:8" ht="15.75" thickBot="1" x14ac:dyDescent="0.3">
      <c r="D9" s="412"/>
      <c r="E9" s="413"/>
      <c r="F9" s="413"/>
      <c r="G9" s="413"/>
      <c r="H9" s="414"/>
    </row>
    <row r="10" spans="4:8" ht="15.75" thickBot="1" x14ac:dyDescent="0.3">
      <c r="D10" s="412"/>
      <c r="E10" s="413"/>
      <c r="F10" s="413"/>
      <c r="G10" s="413"/>
      <c r="H10" s="414"/>
    </row>
    <row r="11" spans="4:8" ht="42.75" customHeight="1" thickBot="1" x14ac:dyDescent="0.3">
      <c r="D11" s="84" t="s">
        <v>39</v>
      </c>
      <c r="E11" s="413" t="s">
        <v>332</v>
      </c>
      <c r="F11" s="444"/>
      <c r="G11" s="444"/>
      <c r="H11" s="445"/>
    </row>
    <row r="12" spans="4:8" x14ac:dyDescent="0.25">
      <c r="D12" s="418" t="s">
        <v>139</v>
      </c>
      <c r="E12" s="20">
        <v>2018</v>
      </c>
      <c r="F12" s="20">
        <v>2019</v>
      </c>
      <c r="G12" s="20">
        <v>2020</v>
      </c>
      <c r="H12" s="20">
        <v>2021</v>
      </c>
    </row>
    <row r="13" spans="4:8" ht="15.75" thickBot="1" x14ac:dyDescent="0.3">
      <c r="D13" s="419"/>
      <c r="E13" s="21" t="s">
        <v>42</v>
      </c>
      <c r="F13" s="21" t="s">
        <v>43</v>
      </c>
      <c r="G13" s="21" t="s">
        <v>43</v>
      </c>
      <c r="H13" s="21" t="s">
        <v>43</v>
      </c>
    </row>
    <row r="14" spans="4:8" x14ac:dyDescent="0.25">
      <c r="D14" s="125"/>
      <c r="E14" s="98">
        <v>31628</v>
      </c>
      <c r="F14" s="98">
        <v>26340</v>
      </c>
      <c r="G14" s="98">
        <v>28050</v>
      </c>
      <c r="H14" s="98">
        <v>29550</v>
      </c>
    </row>
    <row r="15" spans="4:8" ht="15.75" thickBot="1" x14ac:dyDescent="0.3">
      <c r="D15" s="126"/>
      <c r="E15" s="98">
        <v>30772</v>
      </c>
      <c r="F15" s="98">
        <v>36140</v>
      </c>
      <c r="G15" s="98">
        <v>34510</v>
      </c>
      <c r="H15" s="98">
        <v>33090</v>
      </c>
    </row>
    <row r="16" spans="4:8" ht="55.5" customHeight="1" thickBot="1" x14ac:dyDescent="0.3">
      <c r="D16" s="85" t="s">
        <v>46</v>
      </c>
      <c r="E16" s="412" t="s">
        <v>333</v>
      </c>
      <c r="F16" s="413"/>
      <c r="G16" s="413"/>
      <c r="H16" s="414"/>
    </row>
    <row r="17" spans="4:8" x14ac:dyDescent="0.25">
      <c r="D17" s="350" t="s">
        <v>154</v>
      </c>
      <c r="E17" s="75"/>
      <c r="F17" s="75"/>
      <c r="G17" s="75"/>
      <c r="H17" s="75"/>
    </row>
    <row r="18" spans="4:8" ht="25.5" customHeight="1" thickBot="1" x14ac:dyDescent="0.3">
      <c r="D18" s="351" t="s">
        <v>334</v>
      </c>
      <c r="E18" s="76">
        <v>72</v>
      </c>
      <c r="F18" s="76">
        <v>80</v>
      </c>
      <c r="G18" s="76">
        <v>82</v>
      </c>
      <c r="H18" s="76">
        <v>85</v>
      </c>
    </row>
    <row r="19" spans="4:8" ht="15.75" thickBot="1" x14ac:dyDescent="0.3">
      <c r="D19" s="19" t="s">
        <v>335</v>
      </c>
      <c r="E19" s="138">
        <v>700</v>
      </c>
      <c r="F19" s="138">
        <v>710</v>
      </c>
      <c r="G19" s="138">
        <v>720</v>
      </c>
      <c r="H19" s="138">
        <v>730</v>
      </c>
    </row>
    <row r="20" spans="4:8" ht="15.75" thickBot="1" x14ac:dyDescent="0.3">
      <c r="D20" s="19" t="s">
        <v>336</v>
      </c>
      <c r="E20" s="138">
        <v>180</v>
      </c>
      <c r="F20" s="221">
        <v>198</v>
      </c>
      <c r="G20" s="221">
        <v>218</v>
      </c>
      <c r="H20" s="221">
        <v>240</v>
      </c>
    </row>
    <row r="21" spans="4:8" ht="15.75" thickBot="1" x14ac:dyDescent="0.3">
      <c r="D21" s="19" t="s">
        <v>337</v>
      </c>
      <c r="E21" s="222">
        <v>55</v>
      </c>
      <c r="F21" s="223">
        <v>58</v>
      </c>
      <c r="G21" s="223">
        <v>61</v>
      </c>
      <c r="H21" s="223">
        <v>64</v>
      </c>
    </row>
    <row r="22" spans="4:8" x14ac:dyDescent="0.25">
      <c r="D22" s="446"/>
      <c r="E22" s="446"/>
      <c r="F22" s="446"/>
      <c r="G22" s="446"/>
      <c r="H22" s="446"/>
    </row>
    <row r="23" spans="4:8" x14ac:dyDescent="0.25">
      <c r="D23" s="101" t="s">
        <v>109</v>
      </c>
      <c r="E23" s="443" t="s">
        <v>338</v>
      </c>
      <c r="F23" s="443"/>
      <c r="G23" s="443"/>
      <c r="H23" s="443"/>
    </row>
    <row r="24" spans="4:8" x14ac:dyDescent="0.25">
      <c r="D24" s="99" t="s">
        <v>73</v>
      </c>
      <c r="E24" s="447" t="s">
        <v>339</v>
      </c>
      <c r="F24" s="447"/>
      <c r="G24" s="447"/>
      <c r="H24" s="447"/>
    </row>
    <row r="25" spans="4:8" x14ac:dyDescent="0.25">
      <c r="D25" s="99" t="s">
        <v>75</v>
      </c>
      <c r="E25" s="448" t="s">
        <v>340</v>
      </c>
      <c r="F25" s="448"/>
      <c r="G25" s="448"/>
      <c r="H25" s="448"/>
    </row>
    <row r="26" spans="4:8" x14ac:dyDescent="0.25">
      <c r="D26" s="447"/>
      <c r="E26" s="102">
        <v>2018</v>
      </c>
      <c r="F26" s="102">
        <v>2019</v>
      </c>
      <c r="G26" s="102">
        <v>2020</v>
      </c>
      <c r="H26" s="102">
        <v>2021</v>
      </c>
    </row>
    <row r="27" spans="4:8" x14ac:dyDescent="0.25">
      <c r="D27" s="447"/>
      <c r="E27" s="102" t="s">
        <v>42</v>
      </c>
      <c r="F27" s="102" t="s">
        <v>43</v>
      </c>
      <c r="G27" s="102" t="s">
        <v>43</v>
      </c>
      <c r="H27" s="102" t="s">
        <v>43</v>
      </c>
    </row>
    <row r="28" spans="4:8" x14ac:dyDescent="0.25">
      <c r="D28" s="99" t="s">
        <v>77</v>
      </c>
      <c r="E28" s="98">
        <v>72</v>
      </c>
      <c r="F28" s="98">
        <v>80</v>
      </c>
      <c r="G28" s="98">
        <v>82</v>
      </c>
      <c r="H28" s="98">
        <v>85</v>
      </c>
    </row>
    <row r="29" spans="4:8" x14ac:dyDescent="0.25">
      <c r="D29" s="99" t="s">
        <v>78</v>
      </c>
      <c r="E29" s="98">
        <v>31628</v>
      </c>
      <c r="F29" s="98">
        <v>26340</v>
      </c>
      <c r="G29" s="98">
        <v>28050</v>
      </c>
      <c r="H29" s="98">
        <v>29550</v>
      </c>
    </row>
    <row r="30" spans="4:8" x14ac:dyDescent="0.25">
      <c r="D30" s="99" t="s">
        <v>79</v>
      </c>
      <c r="E30" s="98">
        <v>15.805027624309393</v>
      </c>
      <c r="F30" s="98">
        <v>15.969016393442622</v>
      </c>
      <c r="G30" s="98">
        <v>16.282972972972974</v>
      </c>
      <c r="H30" s="98">
        <v>16.012368421052631</v>
      </c>
    </row>
    <row r="31" spans="4:8" x14ac:dyDescent="0.25">
      <c r="D31" s="99" t="s">
        <v>80</v>
      </c>
      <c r="E31" s="100" t="s">
        <v>81</v>
      </c>
      <c r="F31" s="103">
        <v>1.1049723756906049E-2</v>
      </c>
      <c r="G31" s="103">
        <v>1.0928961748633892E-2</v>
      </c>
      <c r="H31" s="103">
        <v>2.7027027027026973E-2</v>
      </c>
    </row>
    <row r="32" spans="4:8" x14ac:dyDescent="0.25">
      <c r="D32" s="99" t="s">
        <v>82</v>
      </c>
      <c r="E32" s="100" t="s">
        <v>81</v>
      </c>
      <c r="F32" s="103">
        <v>2.1540107176190482E-2</v>
      </c>
      <c r="G32" s="103">
        <v>3.0804187069906508E-2</v>
      </c>
      <c r="H32" s="103">
        <v>9.9590021079887237E-3</v>
      </c>
    </row>
    <row r="33" spans="4:8" x14ac:dyDescent="0.25">
      <c r="D33" s="99" t="s">
        <v>83</v>
      </c>
      <c r="E33" s="100" t="s">
        <v>81</v>
      </c>
      <c r="F33" s="103">
        <v>1.0375734420166483E-2</v>
      </c>
      <c r="G33" s="103">
        <v>1.9660358020502366E-2</v>
      </c>
      <c r="H33" s="103">
        <v>-1.6618866368537377E-2</v>
      </c>
    </row>
    <row r="34" spans="4:8" x14ac:dyDescent="0.25">
      <c r="D34" s="449" t="s">
        <v>341</v>
      </c>
      <c r="E34" s="449"/>
      <c r="F34" s="449"/>
      <c r="G34" s="449"/>
      <c r="H34" s="449"/>
    </row>
    <row r="35" spans="4:8" x14ac:dyDescent="0.25">
      <c r="D35" s="447"/>
      <c r="E35" s="102">
        <v>2018</v>
      </c>
      <c r="F35" s="102">
        <v>2019</v>
      </c>
      <c r="G35" s="102">
        <v>2020</v>
      </c>
      <c r="H35" s="102">
        <v>2021</v>
      </c>
    </row>
    <row r="36" spans="4:8" x14ac:dyDescent="0.25">
      <c r="D36" s="447"/>
      <c r="E36" s="102" t="s">
        <v>42</v>
      </c>
      <c r="F36" s="102" t="s">
        <v>43</v>
      </c>
      <c r="G36" s="102" t="s">
        <v>43</v>
      </c>
      <c r="H36" s="102" t="s">
        <v>43</v>
      </c>
    </row>
    <row r="37" spans="4:8" x14ac:dyDescent="0.25">
      <c r="D37" s="104" t="s">
        <v>85</v>
      </c>
      <c r="E37" s="105">
        <v>15500</v>
      </c>
      <c r="F37" s="105">
        <v>12940</v>
      </c>
      <c r="G37" s="105">
        <v>13950</v>
      </c>
      <c r="H37" s="106">
        <v>14950</v>
      </c>
    </row>
    <row r="38" spans="4:8" x14ac:dyDescent="0.25">
      <c r="D38" s="104" t="s">
        <v>86</v>
      </c>
      <c r="E38" s="105">
        <v>3400</v>
      </c>
      <c r="F38" s="105">
        <v>2800</v>
      </c>
      <c r="G38" s="105">
        <v>2500</v>
      </c>
      <c r="H38" s="106">
        <v>2950</v>
      </c>
    </row>
    <row r="39" spans="4:8" x14ac:dyDescent="0.25">
      <c r="D39" s="104" t="s">
        <v>87</v>
      </c>
      <c r="E39" s="107">
        <v>11873</v>
      </c>
      <c r="F39" s="105">
        <v>10000</v>
      </c>
      <c r="G39" s="105">
        <v>11000</v>
      </c>
      <c r="H39" s="105">
        <v>11050</v>
      </c>
    </row>
    <row r="40" spans="4:8" x14ac:dyDescent="0.25">
      <c r="D40" s="104" t="s">
        <v>88</v>
      </c>
      <c r="E40" s="107"/>
      <c r="F40" s="105"/>
      <c r="G40" s="105"/>
      <c r="H40" s="105"/>
    </row>
    <row r="41" spans="4:8" x14ac:dyDescent="0.25">
      <c r="D41" s="104" t="s">
        <v>89</v>
      </c>
      <c r="E41" s="107"/>
      <c r="F41" s="105"/>
      <c r="G41" s="105"/>
      <c r="H41" s="105"/>
    </row>
    <row r="42" spans="4:8" x14ac:dyDescent="0.25">
      <c r="D42" s="104" t="s">
        <v>90</v>
      </c>
      <c r="E42" s="108">
        <v>600</v>
      </c>
      <c r="F42" s="109">
        <v>600</v>
      </c>
      <c r="G42" s="109">
        <v>600</v>
      </c>
      <c r="H42" s="110">
        <v>600</v>
      </c>
    </row>
    <row r="43" spans="4:8" x14ac:dyDescent="0.25">
      <c r="D43" s="104" t="s">
        <v>91</v>
      </c>
      <c r="E43" s="108">
        <v>255</v>
      </c>
      <c r="F43" s="105"/>
      <c r="G43" s="105"/>
      <c r="H43" s="105"/>
    </row>
    <row r="44" spans="4:8" x14ac:dyDescent="0.25">
      <c r="D44" s="111" t="s">
        <v>92</v>
      </c>
      <c r="E44" s="107">
        <f>E43+E42+E41+E40+E39+E38+E37</f>
        <v>31628</v>
      </c>
      <c r="F44" s="107">
        <f>F43+F42+F41+F40+F39+F38+F37</f>
        <v>26340</v>
      </c>
      <c r="G44" s="107">
        <f>G43+G42+G41+G40+G39+G38+G37</f>
        <v>28050</v>
      </c>
      <c r="H44" s="107">
        <f>H43+H42+H41+H40+H39+H38+H37</f>
        <v>29550</v>
      </c>
    </row>
    <row r="45" spans="4:8" x14ac:dyDescent="0.25">
      <c r="D45" s="65" t="s">
        <v>93</v>
      </c>
      <c r="E45" s="112">
        <f>IF(E44-E29=0,0,"Error")</f>
        <v>0</v>
      </c>
      <c r="F45" s="112">
        <f>IF(F44-F29=0,0,"Error")</f>
        <v>0</v>
      </c>
      <c r="G45" s="112">
        <f>IF(G44-G29=0,0,"Error")</f>
        <v>0</v>
      </c>
      <c r="H45" s="112">
        <f>IF(H44-H29=0,0,"Error")</f>
        <v>0</v>
      </c>
    </row>
    <row r="46" spans="4:8" x14ac:dyDescent="0.25">
      <c r="D46" s="113" t="s">
        <v>94</v>
      </c>
      <c r="E46" s="443" t="s">
        <v>342</v>
      </c>
      <c r="F46" s="443"/>
      <c r="G46" s="443"/>
      <c r="H46" s="443"/>
    </row>
    <row r="47" spans="4:8" x14ac:dyDescent="0.25">
      <c r="D47" s="99" t="s">
        <v>73</v>
      </c>
      <c r="E47" s="443" t="s">
        <v>343</v>
      </c>
      <c r="F47" s="443"/>
      <c r="G47" s="443"/>
      <c r="H47" s="443"/>
    </row>
    <row r="48" spans="4:8" x14ac:dyDescent="0.25">
      <c r="D48" s="99" t="s">
        <v>75</v>
      </c>
      <c r="E48" s="443" t="s">
        <v>340</v>
      </c>
      <c r="F48" s="443"/>
      <c r="G48" s="443"/>
      <c r="H48" s="443"/>
    </row>
    <row r="49" spans="4:8" x14ac:dyDescent="0.25">
      <c r="D49" s="99" t="s">
        <v>77</v>
      </c>
      <c r="E49" s="114">
        <v>700</v>
      </c>
      <c r="F49" s="114">
        <v>710</v>
      </c>
      <c r="G49" s="114">
        <v>720</v>
      </c>
      <c r="H49" s="114">
        <v>730</v>
      </c>
    </row>
    <row r="50" spans="4:8" x14ac:dyDescent="0.25">
      <c r="D50" s="447"/>
      <c r="E50" s="102">
        <v>2018</v>
      </c>
      <c r="F50" s="102">
        <v>2019</v>
      </c>
      <c r="G50" s="102">
        <v>2020</v>
      </c>
      <c r="H50" s="102">
        <v>2021</v>
      </c>
    </row>
    <row r="51" spans="4:8" x14ac:dyDescent="0.25">
      <c r="D51" s="447"/>
      <c r="E51" s="102" t="s">
        <v>42</v>
      </c>
      <c r="F51" s="102" t="s">
        <v>43</v>
      </c>
      <c r="G51" s="102" t="s">
        <v>43</v>
      </c>
      <c r="H51" s="102" t="s">
        <v>43</v>
      </c>
    </row>
    <row r="52" spans="4:8" x14ac:dyDescent="0.25">
      <c r="D52" s="99" t="s">
        <v>78</v>
      </c>
      <c r="E52" s="108">
        <v>30772</v>
      </c>
      <c r="F52" s="108">
        <v>36140</v>
      </c>
      <c r="G52" s="114">
        <v>34510</v>
      </c>
      <c r="H52" s="114">
        <v>33090</v>
      </c>
    </row>
    <row r="53" spans="4:8" x14ac:dyDescent="0.25">
      <c r="D53" s="99" t="s">
        <v>79</v>
      </c>
      <c r="E53" s="114">
        <f>E52/E49</f>
        <v>43.96</v>
      </c>
      <c r="F53" s="114">
        <f>F52/F49</f>
        <v>50.901408450704224</v>
      </c>
      <c r="G53" s="114">
        <f>G52/G49</f>
        <v>47.930555555555557</v>
      </c>
      <c r="H53" s="114">
        <f>H52/H49</f>
        <v>45.328767123287669</v>
      </c>
    </row>
    <row r="54" spans="4:8" x14ac:dyDescent="0.25">
      <c r="D54" s="99" t="s">
        <v>80</v>
      </c>
      <c r="E54" s="97"/>
      <c r="F54" s="115">
        <f>F49/E49-1</f>
        <v>1.4285714285714235E-2</v>
      </c>
      <c r="G54" s="116">
        <f>G49/F49-1</f>
        <v>1.4084507042253502E-2</v>
      </c>
      <c r="H54" s="115">
        <f>H49/G49-1</f>
        <v>1.388888888888884E-2</v>
      </c>
    </row>
    <row r="55" spans="4:8" x14ac:dyDescent="0.25">
      <c r="D55" s="99" t="s">
        <v>82</v>
      </c>
      <c r="E55" s="97"/>
      <c r="F55" s="115">
        <f t="shared" ref="F55:H56" si="0">F52/E52-1</f>
        <v>0.17444430001299893</v>
      </c>
      <c r="G55" s="116">
        <f t="shared" si="0"/>
        <v>-4.510237963475372E-2</v>
      </c>
      <c r="H55" s="115">
        <f t="shared" si="0"/>
        <v>-4.1147493480150676E-2</v>
      </c>
    </row>
    <row r="56" spans="4:8" x14ac:dyDescent="0.25">
      <c r="D56" s="99" t="s">
        <v>83</v>
      </c>
      <c r="E56" s="97"/>
      <c r="F56" s="115">
        <f t="shared" si="0"/>
        <v>0.15790283099873115</v>
      </c>
      <c r="G56" s="116">
        <f t="shared" si="0"/>
        <v>-5.8364846584270991E-2</v>
      </c>
      <c r="H56" s="115">
        <f t="shared" si="0"/>
        <v>-5.4282459322888443E-2</v>
      </c>
    </row>
    <row r="57" spans="4:8" x14ac:dyDescent="0.25">
      <c r="D57" s="449" t="s">
        <v>344</v>
      </c>
      <c r="E57" s="449"/>
      <c r="F57" s="449"/>
      <c r="G57" s="449"/>
      <c r="H57" s="449"/>
    </row>
    <row r="58" spans="4:8" x14ac:dyDescent="0.25">
      <c r="D58" s="447"/>
      <c r="E58" s="102">
        <v>2018</v>
      </c>
      <c r="F58" s="102">
        <v>2019</v>
      </c>
      <c r="G58" s="102">
        <v>2020</v>
      </c>
      <c r="H58" s="102">
        <v>2021</v>
      </c>
    </row>
    <row r="59" spans="4:8" x14ac:dyDescent="0.25">
      <c r="D59" s="447"/>
      <c r="E59" s="102" t="s">
        <v>42</v>
      </c>
      <c r="F59" s="102" t="s">
        <v>43</v>
      </c>
      <c r="G59" s="102" t="s">
        <v>43</v>
      </c>
      <c r="H59" s="102" t="s">
        <v>43</v>
      </c>
    </row>
    <row r="60" spans="4:8" x14ac:dyDescent="0.25">
      <c r="D60" s="104" t="s">
        <v>85</v>
      </c>
      <c r="E60" s="105">
        <v>15500</v>
      </c>
      <c r="F60" s="109">
        <v>18940</v>
      </c>
      <c r="G60" s="105">
        <v>17950</v>
      </c>
      <c r="H60" s="106">
        <v>17050</v>
      </c>
    </row>
    <row r="61" spans="4:8" x14ac:dyDescent="0.25">
      <c r="D61" s="104" t="s">
        <v>86</v>
      </c>
      <c r="E61" s="105">
        <v>3400</v>
      </c>
      <c r="F61" s="109">
        <v>3200</v>
      </c>
      <c r="G61" s="105">
        <v>3560</v>
      </c>
      <c r="H61" s="106">
        <v>3090</v>
      </c>
    </row>
    <row r="62" spans="4:8" x14ac:dyDescent="0.25">
      <c r="D62" s="104" t="s">
        <v>87</v>
      </c>
      <c r="E62" s="107">
        <v>11617</v>
      </c>
      <c r="F62" s="109">
        <v>14000</v>
      </c>
      <c r="G62" s="105">
        <v>13000</v>
      </c>
      <c r="H62" s="105">
        <v>12950</v>
      </c>
    </row>
    <row r="63" spans="4:8" x14ac:dyDescent="0.25">
      <c r="D63" s="104" t="s">
        <v>89</v>
      </c>
      <c r="E63" s="108"/>
      <c r="F63" s="109"/>
      <c r="G63" s="109"/>
      <c r="H63" s="109"/>
    </row>
    <row r="64" spans="4:8" x14ac:dyDescent="0.25">
      <c r="D64" s="104" t="s">
        <v>90</v>
      </c>
      <c r="E64" s="108"/>
      <c r="F64" s="109"/>
      <c r="G64" s="109"/>
      <c r="H64" s="109"/>
    </row>
    <row r="65" spans="4:8" x14ac:dyDescent="0.25">
      <c r="D65" s="104" t="s">
        <v>91</v>
      </c>
      <c r="E65" s="108">
        <v>255</v>
      </c>
      <c r="F65" s="109"/>
      <c r="G65" s="109"/>
      <c r="H65" s="109"/>
    </row>
    <row r="66" spans="4:8" x14ac:dyDescent="0.25">
      <c r="D66" s="117" t="s">
        <v>99</v>
      </c>
      <c r="E66" s="108">
        <f>SUM(E60:E65)</f>
        <v>30772</v>
      </c>
      <c r="F66" s="108">
        <f>SUM(F60:F65)</f>
        <v>36140</v>
      </c>
      <c r="G66" s="108">
        <f>SUM(G60:G65)</f>
        <v>34510</v>
      </c>
      <c r="H66" s="108">
        <f>SUM(H60:H65)</f>
        <v>33090</v>
      </c>
    </row>
    <row r="67" spans="4:8" x14ac:dyDescent="0.25">
      <c r="D67" s="65" t="s">
        <v>93</v>
      </c>
      <c r="E67" s="118">
        <v>0</v>
      </c>
      <c r="F67" s="118">
        <v>0</v>
      </c>
      <c r="G67" s="118">
        <v>0</v>
      </c>
      <c r="H67" s="118">
        <v>0</v>
      </c>
    </row>
    <row r="68" spans="4:8" x14ac:dyDescent="0.25">
      <c r="D68" s="119"/>
      <c r="E68" s="450"/>
      <c r="F68" s="450"/>
      <c r="G68" s="450"/>
      <c r="H68" s="450"/>
    </row>
    <row r="69" spans="4:8" x14ac:dyDescent="0.25">
      <c r="D69" s="101" t="s">
        <v>100</v>
      </c>
      <c r="E69" s="446" t="s">
        <v>345</v>
      </c>
      <c r="F69" s="446"/>
      <c r="G69" s="446"/>
      <c r="H69" s="446"/>
    </row>
    <row r="70" spans="4:8" x14ac:dyDescent="0.25">
      <c r="D70" s="99" t="s">
        <v>73</v>
      </c>
      <c r="E70" s="447"/>
      <c r="F70" s="447"/>
      <c r="G70" s="447"/>
      <c r="H70" s="447"/>
    </row>
    <row r="71" spans="4:8" x14ac:dyDescent="0.25">
      <c r="D71" s="99" t="s">
        <v>75</v>
      </c>
      <c r="E71" s="448" t="s">
        <v>336</v>
      </c>
      <c r="F71" s="448"/>
      <c r="G71" s="448"/>
      <c r="H71" s="448"/>
    </row>
    <row r="72" spans="4:8" x14ac:dyDescent="0.25">
      <c r="D72" s="447"/>
      <c r="E72" s="102">
        <v>2018</v>
      </c>
      <c r="F72" s="102">
        <v>2019</v>
      </c>
      <c r="G72" s="102">
        <v>2020</v>
      </c>
      <c r="H72" s="102">
        <v>2021</v>
      </c>
    </row>
    <row r="73" spans="4:8" x14ac:dyDescent="0.25">
      <c r="D73" s="447"/>
      <c r="E73" s="102" t="s">
        <v>42</v>
      </c>
      <c r="F73" s="102" t="s">
        <v>43</v>
      </c>
      <c r="G73" s="102" t="s">
        <v>43</v>
      </c>
      <c r="H73" s="102" t="s">
        <v>43</v>
      </c>
    </row>
    <row r="74" spans="4:8" x14ac:dyDescent="0.25">
      <c r="D74" s="99" t="s">
        <v>77</v>
      </c>
      <c r="E74" s="120">
        <v>180</v>
      </c>
      <c r="F74" s="120">
        <v>198</v>
      </c>
      <c r="G74" s="120">
        <v>218</v>
      </c>
      <c r="H74" s="120">
        <v>240</v>
      </c>
    </row>
    <row r="75" spans="4:8" x14ac:dyDescent="0.25">
      <c r="D75" s="99" t="s">
        <v>78</v>
      </c>
      <c r="E75" s="120">
        <v>8200</v>
      </c>
      <c r="F75" s="120">
        <v>8210</v>
      </c>
      <c r="G75" s="120">
        <v>8220</v>
      </c>
      <c r="H75" s="120">
        <v>8230</v>
      </c>
    </row>
    <row r="76" spans="4:8" x14ac:dyDescent="0.25">
      <c r="D76" s="99" t="s">
        <v>79</v>
      </c>
      <c r="E76" s="120">
        <f>E75/E74</f>
        <v>45.555555555555557</v>
      </c>
      <c r="F76" s="120">
        <f>F75/F74</f>
        <v>41.464646464646464</v>
      </c>
      <c r="G76" s="120">
        <f>G75/G74</f>
        <v>37.706422018348626</v>
      </c>
      <c r="H76" s="120">
        <f>H75/H74</f>
        <v>34.291666666666664</v>
      </c>
    </row>
    <row r="77" spans="4:8" x14ac:dyDescent="0.25">
      <c r="D77" s="99" t="s">
        <v>80</v>
      </c>
      <c r="E77" s="97"/>
      <c r="F77" s="121">
        <f>F74/E74-1</f>
        <v>0.10000000000000009</v>
      </c>
      <c r="G77" s="115">
        <v>4.3478260869565188E-2</v>
      </c>
      <c r="H77" s="115">
        <v>4.1666666666666741E-2</v>
      </c>
    </row>
    <row r="78" spans="4:8" x14ac:dyDescent="0.25">
      <c r="D78" s="99" t="s">
        <v>82</v>
      </c>
      <c r="E78" s="97"/>
      <c r="F78" s="115"/>
      <c r="G78" s="115"/>
      <c r="H78" s="115"/>
    </row>
    <row r="79" spans="4:8" x14ac:dyDescent="0.25">
      <c r="D79" s="99" t="s">
        <v>83</v>
      </c>
      <c r="E79" s="97"/>
      <c r="F79" s="121">
        <f>F76/E76-1</f>
        <v>-8.9800443458980084E-2</v>
      </c>
      <c r="G79" s="122">
        <f>G76/F76-1</f>
        <v>-9.0636838047134183E-2</v>
      </c>
      <c r="H79" s="121">
        <f>H76/G76-1</f>
        <v>-9.0561638280616474E-2</v>
      </c>
    </row>
    <row r="80" spans="4:8" x14ac:dyDescent="0.25">
      <c r="D80" s="449" t="s">
        <v>346</v>
      </c>
      <c r="E80" s="449"/>
      <c r="F80" s="449"/>
      <c r="G80" s="449"/>
      <c r="H80" s="449"/>
    </row>
    <row r="81" spans="4:8" x14ac:dyDescent="0.25">
      <c r="D81" s="447"/>
      <c r="E81" s="102">
        <v>2018</v>
      </c>
      <c r="F81" s="102">
        <v>2019</v>
      </c>
      <c r="G81" s="102">
        <v>2020</v>
      </c>
      <c r="H81" s="102">
        <v>2021</v>
      </c>
    </row>
    <row r="82" spans="4:8" x14ac:dyDescent="0.25">
      <c r="D82" s="447"/>
      <c r="E82" s="102" t="s">
        <v>42</v>
      </c>
      <c r="F82" s="102" t="s">
        <v>43</v>
      </c>
      <c r="G82" s="102" t="s">
        <v>43</v>
      </c>
      <c r="H82" s="102" t="s">
        <v>43</v>
      </c>
    </row>
    <row r="83" spans="4:8" x14ac:dyDescent="0.25">
      <c r="D83" s="123" t="s">
        <v>85</v>
      </c>
      <c r="E83" s="105">
        <v>4600</v>
      </c>
      <c r="F83" s="105">
        <v>4605</v>
      </c>
      <c r="G83" s="106">
        <v>4610</v>
      </c>
      <c r="H83" s="105">
        <v>4615</v>
      </c>
    </row>
    <row r="84" spans="4:8" x14ac:dyDescent="0.25">
      <c r="D84" s="123" t="s">
        <v>86</v>
      </c>
      <c r="E84" s="105">
        <v>600</v>
      </c>
      <c r="F84" s="105">
        <v>605</v>
      </c>
      <c r="G84" s="106">
        <v>610</v>
      </c>
      <c r="H84" s="105">
        <v>615</v>
      </c>
    </row>
    <row r="85" spans="4:8" x14ac:dyDescent="0.25">
      <c r="D85" s="123" t="s">
        <v>87</v>
      </c>
      <c r="E85" s="107">
        <v>3000</v>
      </c>
      <c r="F85" s="105">
        <v>3000</v>
      </c>
      <c r="G85" s="106">
        <v>3000</v>
      </c>
      <c r="H85" s="105">
        <v>3000</v>
      </c>
    </row>
    <row r="86" spans="4:8" x14ac:dyDescent="0.25">
      <c r="D86" s="123" t="s">
        <v>88</v>
      </c>
      <c r="E86" s="107"/>
      <c r="F86" s="105"/>
      <c r="G86" s="105"/>
      <c r="H86" s="105"/>
    </row>
    <row r="87" spans="4:8" x14ac:dyDescent="0.25">
      <c r="D87" s="123" t="s">
        <v>89</v>
      </c>
      <c r="E87" s="107"/>
      <c r="F87" s="105"/>
      <c r="G87" s="105"/>
      <c r="H87" s="105"/>
    </row>
    <row r="88" spans="4:8" x14ac:dyDescent="0.25">
      <c r="D88" s="123" t="s">
        <v>90</v>
      </c>
      <c r="E88" s="107"/>
      <c r="F88" s="105"/>
      <c r="G88" s="105"/>
      <c r="H88" s="105"/>
    </row>
    <row r="89" spans="4:8" x14ac:dyDescent="0.25">
      <c r="D89" s="123" t="s">
        <v>91</v>
      </c>
      <c r="E89" s="107"/>
      <c r="F89" s="105"/>
      <c r="G89" s="105"/>
      <c r="H89" s="105"/>
    </row>
    <row r="90" spans="4:8" x14ac:dyDescent="0.25">
      <c r="D90" s="124" t="s">
        <v>104</v>
      </c>
      <c r="E90" s="107">
        <f>E89+E88+E87+E86+E85+E84+E83</f>
        <v>8200</v>
      </c>
      <c r="F90" s="107">
        <f>F89+F88+F87+F86+F85+F84+F83</f>
        <v>8210</v>
      </c>
      <c r="G90" s="107">
        <f>G89+G88+G87+G86+G85+G84+G83</f>
        <v>8220</v>
      </c>
      <c r="H90" s="107">
        <f>H89+H88+H87+H86+H85+H84+H83</f>
        <v>8230</v>
      </c>
    </row>
    <row r="91" spans="4:8" x14ac:dyDescent="0.25">
      <c r="D91" s="451"/>
      <c r="E91" s="448"/>
      <c r="F91" s="448"/>
      <c r="G91" s="448"/>
      <c r="H91" s="448"/>
    </row>
    <row r="92" spans="4:8" x14ac:dyDescent="0.25">
      <c r="D92" s="451"/>
      <c r="E92" s="448"/>
      <c r="F92" s="448"/>
      <c r="G92" s="448"/>
      <c r="H92" s="448"/>
    </row>
    <row r="93" spans="4:8" x14ac:dyDescent="0.25">
      <c r="D93" s="451"/>
      <c r="E93" s="448"/>
      <c r="F93" s="448"/>
      <c r="G93" s="448"/>
      <c r="H93" s="448"/>
    </row>
    <row r="94" spans="4:8" x14ac:dyDescent="0.25">
      <c r="D94" s="119"/>
      <c r="E94" s="450"/>
      <c r="F94" s="450"/>
      <c r="G94" s="450"/>
      <c r="H94" s="450"/>
    </row>
    <row r="95" spans="4:8" x14ac:dyDescent="0.25">
      <c r="D95" s="101" t="s">
        <v>116</v>
      </c>
      <c r="E95" s="446" t="s">
        <v>347</v>
      </c>
      <c r="F95" s="446"/>
      <c r="G95" s="446"/>
      <c r="H95" s="446"/>
    </row>
    <row r="96" spans="4:8" x14ac:dyDescent="0.25">
      <c r="D96" s="99" t="s">
        <v>73</v>
      </c>
      <c r="E96" s="452"/>
      <c r="F96" s="452"/>
      <c r="G96" s="452"/>
      <c r="H96" s="452"/>
    </row>
    <row r="97" spans="4:8" x14ac:dyDescent="0.25">
      <c r="D97" s="99" t="s">
        <v>75</v>
      </c>
      <c r="E97" s="448" t="s">
        <v>337</v>
      </c>
      <c r="F97" s="448"/>
      <c r="G97" s="448"/>
      <c r="H97" s="448"/>
    </row>
    <row r="98" spans="4:8" x14ac:dyDescent="0.25">
      <c r="D98" s="447"/>
      <c r="E98" s="102">
        <v>2018</v>
      </c>
      <c r="F98" s="102">
        <v>2019</v>
      </c>
      <c r="G98" s="102">
        <v>2020</v>
      </c>
      <c r="H98" s="102">
        <v>2021</v>
      </c>
    </row>
    <row r="99" spans="4:8" x14ac:dyDescent="0.25">
      <c r="D99" s="447"/>
      <c r="E99" s="102" t="s">
        <v>42</v>
      </c>
      <c r="F99" s="102" t="s">
        <v>43</v>
      </c>
      <c r="G99" s="102" t="s">
        <v>43</v>
      </c>
      <c r="H99" s="102" t="s">
        <v>43</v>
      </c>
    </row>
    <row r="100" spans="4:8" x14ac:dyDescent="0.25">
      <c r="D100" s="127" t="s">
        <v>77</v>
      </c>
      <c r="E100" s="98">
        <v>55</v>
      </c>
      <c r="F100" s="98">
        <v>58</v>
      </c>
      <c r="G100" s="98">
        <v>61</v>
      </c>
      <c r="H100" s="98">
        <v>64</v>
      </c>
    </row>
    <row r="101" spans="4:8" x14ac:dyDescent="0.25">
      <c r="D101" s="127" t="s">
        <v>78</v>
      </c>
      <c r="E101" s="98">
        <v>8200</v>
      </c>
      <c r="F101" s="98">
        <v>8210</v>
      </c>
      <c r="G101" s="98">
        <v>8220</v>
      </c>
      <c r="H101" s="98">
        <v>8230</v>
      </c>
    </row>
    <row r="102" spans="4:8" x14ac:dyDescent="0.25">
      <c r="D102" s="127" t="s">
        <v>79</v>
      </c>
      <c r="E102" s="98">
        <f>E101/E98</f>
        <v>4.063429137760159</v>
      </c>
      <c r="F102" s="98">
        <v>141</v>
      </c>
      <c r="G102" s="98">
        <f>G101/G98</f>
        <v>4.0693069306930694</v>
      </c>
      <c r="H102" s="98">
        <f>H101/H98</f>
        <v>4.0722414646214746</v>
      </c>
    </row>
    <row r="103" spans="4:8" x14ac:dyDescent="0.25">
      <c r="D103" s="127" t="s">
        <v>80</v>
      </c>
      <c r="E103" s="100" t="s">
        <v>81</v>
      </c>
      <c r="F103" s="103">
        <v>5.4545454545454453E-2</v>
      </c>
      <c r="G103" s="103">
        <v>5.1724137931034475E-2</v>
      </c>
      <c r="H103" s="103">
        <v>4.9180327868852514E-2</v>
      </c>
    </row>
    <row r="104" spans="4:8" x14ac:dyDescent="0.25">
      <c r="D104" s="127" t="s">
        <v>82</v>
      </c>
      <c r="E104" s="100" t="s">
        <v>81</v>
      </c>
      <c r="F104" s="103">
        <v>1.2195121951219523E-3</v>
      </c>
      <c r="G104" s="103">
        <v>1.2180267965895553E-3</v>
      </c>
      <c r="H104" s="103">
        <v>1.2165450121655041E-3</v>
      </c>
    </row>
    <row r="105" spans="4:8" x14ac:dyDescent="0.25">
      <c r="D105" s="127" t="s">
        <v>83</v>
      </c>
      <c r="E105" s="100" t="s">
        <v>81</v>
      </c>
      <c r="F105" s="103">
        <v>-5.4268292682926877E-2</v>
      </c>
      <c r="G105" s="103">
        <v>-4.4297174747122359E-2</v>
      </c>
      <c r="H105" s="103">
        <v>-4.5715480535279851E-2</v>
      </c>
    </row>
    <row r="106" spans="4:8" x14ac:dyDescent="0.25">
      <c r="D106" s="449" t="s">
        <v>348</v>
      </c>
      <c r="E106" s="449"/>
      <c r="F106" s="449"/>
      <c r="G106" s="449"/>
      <c r="H106" s="449"/>
    </row>
    <row r="107" spans="4:8" x14ac:dyDescent="0.25">
      <c r="D107" s="447"/>
      <c r="E107" s="102">
        <v>2018</v>
      </c>
      <c r="F107" s="102">
        <v>2019</v>
      </c>
      <c r="G107" s="102">
        <v>2020</v>
      </c>
      <c r="H107" s="102">
        <v>2021</v>
      </c>
    </row>
    <row r="108" spans="4:8" x14ac:dyDescent="0.25">
      <c r="D108" s="447"/>
      <c r="E108" s="102" t="s">
        <v>42</v>
      </c>
      <c r="F108" s="102" t="s">
        <v>43</v>
      </c>
      <c r="G108" s="102" t="s">
        <v>43</v>
      </c>
      <c r="H108" s="102" t="s">
        <v>43</v>
      </c>
    </row>
    <row r="109" spans="4:8" x14ac:dyDescent="0.25">
      <c r="D109" s="104" t="s">
        <v>85</v>
      </c>
      <c r="E109" s="109">
        <v>4600</v>
      </c>
      <c r="F109" s="109">
        <v>4605</v>
      </c>
      <c r="G109" s="110">
        <v>4610</v>
      </c>
      <c r="H109" s="128">
        <v>4615</v>
      </c>
    </row>
    <row r="110" spans="4:8" x14ac:dyDescent="0.25">
      <c r="D110" s="104" t="s">
        <v>86</v>
      </c>
      <c r="E110" s="109">
        <v>600</v>
      </c>
      <c r="F110" s="109">
        <v>605</v>
      </c>
      <c r="G110" s="110">
        <v>610</v>
      </c>
      <c r="H110" s="128">
        <v>615</v>
      </c>
    </row>
    <row r="111" spans="4:8" x14ac:dyDescent="0.25">
      <c r="D111" s="104" t="s">
        <v>87</v>
      </c>
      <c r="E111" s="108">
        <v>3000</v>
      </c>
      <c r="F111" s="109">
        <v>3000</v>
      </c>
      <c r="G111" s="110">
        <v>3000</v>
      </c>
      <c r="H111" s="128">
        <v>3000</v>
      </c>
    </row>
    <row r="112" spans="4:8" x14ac:dyDescent="0.25">
      <c r="D112" s="104" t="s">
        <v>88</v>
      </c>
      <c r="E112" s="109"/>
      <c r="F112" s="109"/>
      <c r="G112" s="109"/>
      <c r="H112" s="128"/>
    </row>
    <row r="113" spans="4:8" x14ac:dyDescent="0.25">
      <c r="D113" s="104" t="s">
        <v>89</v>
      </c>
      <c r="E113" s="109"/>
      <c r="F113" s="109"/>
      <c r="G113" s="109"/>
      <c r="H113" s="128"/>
    </row>
    <row r="114" spans="4:8" x14ac:dyDescent="0.25">
      <c r="D114" s="104" t="s">
        <v>90</v>
      </c>
      <c r="E114" s="109"/>
      <c r="F114" s="109"/>
      <c r="G114" s="109"/>
      <c r="H114" s="128"/>
    </row>
    <row r="115" spans="4:8" x14ac:dyDescent="0.25">
      <c r="D115" s="104" t="s">
        <v>91</v>
      </c>
      <c r="E115" s="109"/>
      <c r="F115" s="109"/>
      <c r="G115" s="109"/>
      <c r="H115" s="128"/>
    </row>
    <row r="116" spans="4:8" x14ac:dyDescent="0.25">
      <c r="D116" s="104" t="s">
        <v>265</v>
      </c>
      <c r="E116" s="108">
        <f t="shared" ref="E116:H116" si="1">SUM(E109:E115)</f>
        <v>8200</v>
      </c>
      <c r="F116" s="109">
        <f t="shared" si="1"/>
        <v>8210</v>
      </c>
      <c r="G116" s="109">
        <f t="shared" si="1"/>
        <v>8220</v>
      </c>
      <c r="H116" s="128">
        <f t="shared" si="1"/>
        <v>8230</v>
      </c>
    </row>
    <row r="117" spans="4:8" x14ac:dyDescent="0.25">
      <c r="D117" s="111" t="s">
        <v>93</v>
      </c>
      <c r="E117" s="108">
        <v>0</v>
      </c>
      <c r="F117" s="108">
        <v>0</v>
      </c>
      <c r="G117" s="108">
        <v>0</v>
      </c>
      <c r="H117" s="129">
        <v>0</v>
      </c>
    </row>
    <row r="118" spans="4:8" ht="24.75" thickBot="1" x14ac:dyDescent="0.3">
      <c r="D118" s="51" t="s">
        <v>122</v>
      </c>
      <c r="E118" s="78">
        <f>E101+E75+E52+E29</f>
        <v>78800</v>
      </c>
      <c r="F118" s="78">
        <f>F101+F75+F52+F29</f>
        <v>78900</v>
      </c>
      <c r="G118" s="78">
        <f>G101+G75+G52+G29</f>
        <v>79000</v>
      </c>
      <c r="H118" s="78">
        <f>H101+H75+H52+H29</f>
        <v>79100</v>
      </c>
    </row>
    <row r="119" spans="4:8" ht="24.75" thickBot="1" x14ac:dyDescent="0.3">
      <c r="D119" s="51" t="s">
        <v>123</v>
      </c>
      <c r="E119" s="78">
        <f>E121+E123+E125+E127+E129+E131+E133+E135+E137</f>
        <v>78800</v>
      </c>
      <c r="F119" s="78">
        <f>F121+F123+F125+F127+F129+F131+F133+F135+F137</f>
        <v>78900</v>
      </c>
      <c r="G119" s="78">
        <f>G121+G123+G125+G127+G129+G131+G133+G135+G137</f>
        <v>79000</v>
      </c>
      <c r="H119" s="78">
        <f>H121+H123+H125+H127+H129+H131+H133+H135+H137</f>
        <v>79100</v>
      </c>
    </row>
    <row r="120" spans="4:8" ht="24.75" thickBot="1" x14ac:dyDescent="0.3">
      <c r="D120" s="79" t="s">
        <v>124</v>
      </c>
      <c r="E120" s="80"/>
      <c r="F120" s="81">
        <f>F119/E119-1</f>
        <v>1.2690355329949554E-3</v>
      </c>
      <c r="G120" s="81">
        <f>G119/F119-1</f>
        <v>1.2674271229404788E-3</v>
      </c>
      <c r="H120" s="81">
        <f>H119/G119-1</f>
        <v>1.2658227848101333E-3</v>
      </c>
    </row>
    <row r="121" spans="4:8" ht="15.75" thickBot="1" x14ac:dyDescent="0.3">
      <c r="D121" s="24" t="s">
        <v>85</v>
      </c>
      <c r="E121" s="25">
        <f>E109+E83+E60+E37</f>
        <v>40200</v>
      </c>
      <c r="F121" s="25">
        <f>F109+F83+F60+F37</f>
        <v>41090</v>
      </c>
      <c r="G121" s="25">
        <f>G109+G83+G60+G37</f>
        <v>41120</v>
      </c>
      <c r="H121" s="25">
        <f>H109+H83+H60+H37</f>
        <v>41230</v>
      </c>
    </row>
    <row r="122" spans="4:8" ht="15.75" thickBot="1" x14ac:dyDescent="0.3">
      <c r="D122" s="82" t="s">
        <v>125</v>
      </c>
      <c r="E122" s="26"/>
      <c r="F122" s="83">
        <f>F121/E121-1</f>
        <v>2.2139303482586969E-2</v>
      </c>
      <c r="G122" s="83">
        <f>G121/F121-1</f>
        <v>7.3010464833300759E-4</v>
      </c>
      <c r="H122" s="83">
        <f>H121/G121-1</f>
        <v>2.6750972762645819E-3</v>
      </c>
    </row>
    <row r="123" spans="4:8" ht="15.75" thickBot="1" x14ac:dyDescent="0.3">
      <c r="D123" s="24" t="s">
        <v>86</v>
      </c>
      <c r="E123" s="25">
        <f>E110+E84+E61+E38</f>
        <v>8000</v>
      </c>
      <c r="F123" s="25">
        <f>F110+F84+F61+F38</f>
        <v>7210</v>
      </c>
      <c r="G123" s="25">
        <f>G110+G84+G61+G38</f>
        <v>7280</v>
      </c>
      <c r="H123" s="25">
        <f>H110+H84+H61+H38</f>
        <v>7270</v>
      </c>
    </row>
    <row r="124" spans="4:8" ht="24.75" thickBot="1" x14ac:dyDescent="0.3">
      <c r="D124" s="82" t="s">
        <v>126</v>
      </c>
      <c r="E124" s="26"/>
      <c r="F124" s="83">
        <f>F123/E123-1</f>
        <v>-9.8750000000000004E-2</v>
      </c>
      <c r="G124" s="83">
        <f>G123/F123-1</f>
        <v>9.7087378640776656E-3</v>
      </c>
      <c r="H124" s="83">
        <f>H123/G123-1</f>
        <v>-1.3736263736263687E-3</v>
      </c>
    </row>
    <row r="125" spans="4:8" ht="15.75" thickBot="1" x14ac:dyDescent="0.3">
      <c r="D125" s="24" t="s">
        <v>87</v>
      </c>
      <c r="E125" s="25">
        <f>E111+E85+E62+E39</f>
        <v>29490</v>
      </c>
      <c r="F125" s="25">
        <f>F111+F85+F62+F39</f>
        <v>30000</v>
      </c>
      <c r="G125" s="25">
        <f>G111+G85+G62+G39</f>
        <v>30000</v>
      </c>
      <c r="H125" s="25">
        <f>H111+H85+H62+H39</f>
        <v>30000</v>
      </c>
    </row>
    <row r="126" spans="4:8" ht="15.75" thickBot="1" x14ac:dyDescent="0.3">
      <c r="D126" s="82" t="s">
        <v>127</v>
      </c>
      <c r="E126" s="26"/>
      <c r="F126" s="83">
        <f>F125/E125-1</f>
        <v>1.7293997965412089E-2</v>
      </c>
      <c r="G126" s="83">
        <f>G125/F125-1</f>
        <v>0</v>
      </c>
      <c r="H126" s="83">
        <f>H125/G125-1</f>
        <v>0</v>
      </c>
    </row>
    <row r="127" spans="4:8" ht="15.75" thickBot="1" x14ac:dyDescent="0.3">
      <c r="D127" s="24" t="s">
        <v>88</v>
      </c>
      <c r="E127" s="25">
        <f>E112+E86</f>
        <v>0</v>
      </c>
      <c r="F127" s="25">
        <f t="shared" ref="F127:H127" si="2">F112+F86</f>
        <v>0</v>
      </c>
      <c r="G127" s="25">
        <f t="shared" si="2"/>
        <v>0</v>
      </c>
      <c r="H127" s="25">
        <f t="shared" si="2"/>
        <v>0</v>
      </c>
    </row>
    <row r="128" spans="4:8" ht="15.75" thickBot="1" x14ac:dyDescent="0.3">
      <c r="D128" s="82" t="s">
        <v>231</v>
      </c>
      <c r="E128" s="26"/>
      <c r="F128" s="83" t="e">
        <f>F127/E127-1</f>
        <v>#DIV/0!</v>
      </c>
      <c r="G128" s="83" t="e">
        <f>G127/F127-1</f>
        <v>#DIV/0!</v>
      </c>
      <c r="H128" s="83" t="e">
        <f>H127/G127-1</f>
        <v>#DIV/0!</v>
      </c>
    </row>
    <row r="129" spans="4:8" ht="15.75" thickBot="1" x14ac:dyDescent="0.3">
      <c r="D129" s="24" t="s">
        <v>89</v>
      </c>
      <c r="E129" s="25">
        <f>E113+E87</f>
        <v>0</v>
      </c>
      <c r="F129" s="25">
        <f t="shared" ref="F129:H129" si="3">F113+F87</f>
        <v>0</v>
      </c>
      <c r="G129" s="25">
        <f t="shared" si="3"/>
        <v>0</v>
      </c>
      <c r="H129" s="25">
        <f t="shared" si="3"/>
        <v>0</v>
      </c>
    </row>
    <row r="130" spans="4:8" ht="15.75" thickBot="1" x14ac:dyDescent="0.3">
      <c r="D130" s="82" t="s">
        <v>232</v>
      </c>
      <c r="E130" s="26"/>
      <c r="F130" s="83" t="e">
        <f>F129/E129-1</f>
        <v>#DIV/0!</v>
      </c>
      <c r="G130" s="83" t="e">
        <f>G129/F129-1</f>
        <v>#DIV/0!</v>
      </c>
      <c r="H130" s="83" t="e">
        <f>H129/G129-1</f>
        <v>#DIV/0!</v>
      </c>
    </row>
    <row r="131" spans="4:8" ht="15.75" thickBot="1" x14ac:dyDescent="0.3">
      <c r="D131" s="24" t="s">
        <v>90</v>
      </c>
      <c r="E131" s="25">
        <f>E114+E88+E64+E42</f>
        <v>600</v>
      </c>
      <c r="F131" s="25">
        <f>F114+F88+F64+F42</f>
        <v>600</v>
      </c>
      <c r="G131" s="25">
        <f>G114+G88+G64+G42</f>
        <v>600</v>
      </c>
      <c r="H131" s="25">
        <f>H114+H88+H64+H42</f>
        <v>600</v>
      </c>
    </row>
    <row r="132" spans="4:8" ht="15.75" thickBot="1" x14ac:dyDescent="0.3">
      <c r="D132" s="82" t="s">
        <v>233</v>
      </c>
      <c r="E132" s="26"/>
      <c r="F132" s="83">
        <f>F131/E131-1</f>
        <v>0</v>
      </c>
      <c r="G132" s="83">
        <f>G131/F131-1</f>
        <v>0</v>
      </c>
      <c r="H132" s="83">
        <f>H131/G131-1</f>
        <v>0</v>
      </c>
    </row>
    <row r="133" spans="4:8" ht="15.75" thickBot="1" x14ac:dyDescent="0.3">
      <c r="D133" s="24" t="s">
        <v>91</v>
      </c>
      <c r="E133" s="25">
        <f>E115+E89+E65+E43</f>
        <v>510</v>
      </c>
      <c r="F133" s="25">
        <f>F115+F89+F65+F43</f>
        <v>0</v>
      </c>
      <c r="G133" s="25">
        <f>G115+G89+G65+G43</f>
        <v>0</v>
      </c>
      <c r="H133" s="25">
        <f>H115+H89+H65+H43</f>
        <v>0</v>
      </c>
    </row>
    <row r="134" spans="4:8" ht="24.75" thickBot="1" x14ac:dyDescent="0.3">
      <c r="D134" s="82" t="s">
        <v>234</v>
      </c>
      <c r="E134" s="26"/>
      <c r="F134" s="83">
        <f>F133/E133-1</f>
        <v>-1</v>
      </c>
      <c r="G134" s="83" t="e">
        <f>G133/F133-1</f>
        <v>#DIV/0!</v>
      </c>
      <c r="H134" s="83" t="e">
        <f>H133/G133-1</f>
        <v>#DIV/0!</v>
      </c>
    </row>
    <row r="135" spans="4:8" ht="15.75" thickBot="1" x14ac:dyDescent="0.3">
      <c r="D135" s="24" t="s">
        <v>128</v>
      </c>
      <c r="E135" s="25">
        <v>0</v>
      </c>
      <c r="F135" s="25">
        <v>0</v>
      </c>
      <c r="G135" s="25">
        <v>0</v>
      </c>
      <c r="H135" s="25">
        <v>0</v>
      </c>
    </row>
    <row r="136" spans="4:8" ht="15.75" thickBot="1" x14ac:dyDescent="0.3">
      <c r="D136" s="82" t="s">
        <v>129</v>
      </c>
      <c r="E136" s="26"/>
      <c r="F136" s="83" t="e">
        <f>F135/E135-1</f>
        <v>#DIV/0!</v>
      </c>
      <c r="G136" s="83" t="e">
        <f>G135/F135-1</f>
        <v>#DIV/0!</v>
      </c>
      <c r="H136" s="83" t="e">
        <f>H135/G135-1</f>
        <v>#DIV/0!</v>
      </c>
    </row>
    <row r="137" spans="4:8" ht="15.75" thickBot="1" x14ac:dyDescent="0.3">
      <c r="D137" s="24" t="s">
        <v>235</v>
      </c>
      <c r="E137" s="142">
        <v>0</v>
      </c>
      <c r="F137" s="142">
        <v>0</v>
      </c>
      <c r="G137" s="142">
        <v>0</v>
      </c>
      <c r="H137" s="142">
        <v>0</v>
      </c>
    </row>
    <row r="138" spans="4:8" ht="15.75" thickBot="1" x14ac:dyDescent="0.3">
      <c r="D138" s="82" t="s">
        <v>236</v>
      </c>
      <c r="E138" s="26"/>
      <c r="F138" s="83" t="e">
        <f>F137/E137-1</f>
        <v>#DIV/0!</v>
      </c>
      <c r="G138" s="83" t="e">
        <f>G137/F137-1</f>
        <v>#DIV/0!</v>
      </c>
      <c r="H138" s="83" t="e">
        <f>H137/G137-1</f>
        <v>#DIV/0!</v>
      </c>
    </row>
  </sheetData>
  <mergeCells count="39">
    <mergeCell ref="E96:H96"/>
    <mergeCell ref="E97:H97"/>
    <mergeCell ref="D98:D99"/>
    <mergeCell ref="D106:H106"/>
    <mergeCell ref="D107:D108"/>
    <mergeCell ref="D58:D59"/>
    <mergeCell ref="E95:H95"/>
    <mergeCell ref="E68:H68"/>
    <mergeCell ref="E69:H69"/>
    <mergeCell ref="E70:H70"/>
    <mergeCell ref="E71:H71"/>
    <mergeCell ref="D72:D73"/>
    <mergeCell ref="D80:H80"/>
    <mergeCell ref="D81:D82"/>
    <mergeCell ref="D91:D93"/>
    <mergeCell ref="E91:H93"/>
    <mergeCell ref="E94:H94"/>
    <mergeCell ref="E46:H46"/>
    <mergeCell ref="E47:H47"/>
    <mergeCell ref="E48:H48"/>
    <mergeCell ref="D50:D51"/>
    <mergeCell ref="D57:H57"/>
    <mergeCell ref="E24:H24"/>
    <mergeCell ref="E25:H25"/>
    <mergeCell ref="D26:D27"/>
    <mergeCell ref="D34:H34"/>
    <mergeCell ref="D35:D36"/>
    <mergeCell ref="E23:H23"/>
    <mergeCell ref="D2:H2"/>
    <mergeCell ref="E4:H4"/>
    <mergeCell ref="E5:H5"/>
    <mergeCell ref="E6:H6"/>
    <mergeCell ref="D7:H7"/>
    <mergeCell ref="D8:H10"/>
    <mergeCell ref="D17:D18"/>
    <mergeCell ref="E11:H11"/>
    <mergeCell ref="D12:D13"/>
    <mergeCell ref="E16:H16"/>
    <mergeCell ref="D22:H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H454"/>
  <sheetViews>
    <sheetView topLeftCell="B443" zoomScale="140" zoomScaleNormal="140" workbookViewId="0">
      <selection activeCell="G438" sqref="G438"/>
    </sheetView>
  </sheetViews>
  <sheetFormatPr defaultRowHeight="15" x14ac:dyDescent="0.25"/>
  <cols>
    <col min="4" max="4" width="35" customWidth="1"/>
    <col min="5" max="7" width="21.42578125" customWidth="1"/>
    <col min="8" max="8" width="31.7109375" customWidth="1"/>
  </cols>
  <sheetData>
    <row r="2" spans="4:8" ht="15.75" x14ac:dyDescent="0.25">
      <c r="D2" s="456" t="s">
        <v>33</v>
      </c>
      <c r="E2" s="456"/>
      <c r="F2" s="456"/>
      <c r="G2" s="456"/>
      <c r="H2" s="456"/>
    </row>
    <row r="4" spans="4:8" ht="15.75" thickBot="1" x14ac:dyDescent="0.3"/>
    <row r="5" spans="4:8" ht="15.75" thickBot="1" x14ac:dyDescent="0.3">
      <c r="D5" s="9" t="s">
        <v>34</v>
      </c>
      <c r="E5" s="457" t="s">
        <v>349</v>
      </c>
      <c r="F5" s="457"/>
      <c r="G5" s="457"/>
      <c r="H5" s="457"/>
    </row>
    <row r="6" spans="4:8" ht="15.75" thickBot="1" x14ac:dyDescent="0.3">
      <c r="D6" s="9" t="s">
        <v>6</v>
      </c>
      <c r="E6" s="309" t="s">
        <v>26</v>
      </c>
      <c r="F6" s="310"/>
      <c r="G6" s="310"/>
      <c r="H6" s="311"/>
    </row>
    <row r="7" spans="4:8" ht="15.75" thickBot="1" x14ac:dyDescent="0.3">
      <c r="D7" s="9" t="s">
        <v>36</v>
      </c>
      <c r="E7" s="312" t="s">
        <v>37</v>
      </c>
      <c r="F7" s="313"/>
      <c r="G7" s="313"/>
      <c r="H7" s="314"/>
    </row>
    <row r="8" spans="4:8" ht="15.75" thickBot="1" x14ac:dyDescent="0.3">
      <c r="D8" s="315" t="s">
        <v>7</v>
      </c>
      <c r="E8" s="316"/>
      <c r="F8" s="316"/>
      <c r="G8" s="316"/>
      <c r="H8" s="317"/>
    </row>
    <row r="9" spans="4:8" x14ac:dyDescent="0.25">
      <c r="D9" s="458" t="s">
        <v>350</v>
      </c>
      <c r="E9" s="459"/>
      <c r="F9" s="459"/>
      <c r="G9" s="459"/>
      <c r="H9" s="460"/>
    </row>
    <row r="10" spans="4:8" x14ac:dyDescent="0.25">
      <c r="D10" s="461"/>
      <c r="E10" s="462"/>
      <c r="F10" s="462"/>
      <c r="G10" s="462"/>
      <c r="H10" s="463"/>
    </row>
    <row r="11" spans="4:8" ht="28.5" customHeight="1" thickBot="1" x14ac:dyDescent="0.3">
      <c r="D11" s="464"/>
      <c r="E11" s="465"/>
      <c r="F11" s="465"/>
      <c r="G11" s="465"/>
      <c r="H11" s="466"/>
    </row>
    <row r="12" spans="4:8" ht="50.25" customHeight="1" thickBot="1" x14ac:dyDescent="0.3">
      <c r="D12" s="10" t="s">
        <v>39</v>
      </c>
      <c r="E12" s="453" t="s">
        <v>351</v>
      </c>
      <c r="F12" s="454"/>
      <c r="G12" s="454"/>
      <c r="H12" s="455"/>
    </row>
    <row r="13" spans="4:8" x14ac:dyDescent="0.25">
      <c r="D13" s="350" t="s">
        <v>139</v>
      </c>
      <c r="E13" s="47">
        <v>2018</v>
      </c>
      <c r="F13" s="47">
        <v>2019</v>
      </c>
      <c r="G13" s="47">
        <v>2020</v>
      </c>
      <c r="H13" s="47">
        <v>2021</v>
      </c>
    </row>
    <row r="14" spans="4:8" ht="15.75" thickBot="1" x14ac:dyDescent="0.3">
      <c r="D14" s="351"/>
      <c r="E14" s="48" t="s">
        <v>42</v>
      </c>
      <c r="F14" s="48" t="s">
        <v>43</v>
      </c>
      <c r="G14" s="48" t="s">
        <v>43</v>
      </c>
      <c r="H14" s="48" t="s">
        <v>43</v>
      </c>
    </row>
    <row r="15" spans="4:8" ht="15.75" thickBot="1" x14ac:dyDescent="0.3">
      <c r="D15" s="46" t="s">
        <v>352</v>
      </c>
      <c r="E15" s="132">
        <v>23</v>
      </c>
      <c r="F15" s="132">
        <v>23</v>
      </c>
      <c r="G15" s="132">
        <v>23</v>
      </c>
      <c r="H15" s="132">
        <v>23</v>
      </c>
    </row>
    <row r="16" spans="4:8" ht="23.25" thickBot="1" x14ac:dyDescent="0.3">
      <c r="D16" s="19" t="s">
        <v>353</v>
      </c>
      <c r="E16" s="14" t="s">
        <v>61</v>
      </c>
      <c r="F16" s="14" t="s">
        <v>62</v>
      </c>
      <c r="G16" s="14" t="s">
        <v>62</v>
      </c>
      <c r="H16" s="14" t="s">
        <v>62</v>
      </c>
    </row>
    <row r="17" spans="4:8" ht="23.25" thickBot="1" x14ac:dyDescent="0.3">
      <c r="D17" s="19" t="s">
        <v>443</v>
      </c>
      <c r="E17" s="256">
        <v>225072.4</v>
      </c>
      <c r="F17" s="256">
        <v>195000</v>
      </c>
      <c r="G17" s="256">
        <v>194999.97</v>
      </c>
      <c r="H17" s="256">
        <v>198660.3591</v>
      </c>
    </row>
    <row r="18" spans="4:8" ht="23.25" thickBot="1" x14ac:dyDescent="0.3">
      <c r="D18" s="160" t="s">
        <v>353</v>
      </c>
      <c r="E18" s="172">
        <v>1</v>
      </c>
      <c r="F18" s="172">
        <f>E18*F17/E17</f>
        <v>0.86638788229920682</v>
      </c>
      <c r="G18" s="172">
        <f t="shared" ref="G18" si="0">F18*G17/F17</f>
        <v>0.86638774900876347</v>
      </c>
      <c r="H18" s="172">
        <f t="shared" ref="H18" si="1">G18*H17/G17</f>
        <v>0.88265091188435374</v>
      </c>
    </row>
    <row r="19" spans="4:8" ht="15.75" thickBot="1" x14ac:dyDescent="0.3">
      <c r="D19" s="51" t="s">
        <v>46</v>
      </c>
      <c r="E19" s="332" t="s">
        <v>355</v>
      </c>
      <c r="F19" s="333"/>
      <c r="G19" s="333"/>
      <c r="H19" s="334"/>
    </row>
    <row r="20" spans="4:8" ht="15.75" thickBot="1" x14ac:dyDescent="0.3">
      <c r="D20" s="335" t="s">
        <v>154</v>
      </c>
      <c r="E20" s="336"/>
      <c r="F20" s="336"/>
      <c r="G20" s="336"/>
      <c r="H20" s="337"/>
    </row>
    <row r="21" spans="4:8" ht="23.25" thickBot="1" x14ac:dyDescent="0.3">
      <c r="D21" s="133" t="s">
        <v>356</v>
      </c>
      <c r="E21" s="132">
        <v>23</v>
      </c>
      <c r="F21" s="132">
        <v>23</v>
      </c>
      <c r="G21" s="132">
        <v>23</v>
      </c>
      <c r="H21" s="132">
        <v>23</v>
      </c>
    </row>
    <row r="22" spans="4:8" ht="23.25" thickBot="1" x14ac:dyDescent="0.3">
      <c r="D22" s="134" t="s">
        <v>357</v>
      </c>
      <c r="E22" s="132">
        <v>12</v>
      </c>
      <c r="F22" s="132">
        <v>12</v>
      </c>
      <c r="G22" s="132">
        <v>12</v>
      </c>
      <c r="H22" s="132">
        <v>12</v>
      </c>
    </row>
    <row r="23" spans="4:8" ht="23.25" thickBot="1" x14ac:dyDescent="0.3">
      <c r="D23" s="135" t="s">
        <v>358</v>
      </c>
      <c r="E23" s="132">
        <v>12</v>
      </c>
      <c r="F23" s="132">
        <v>12</v>
      </c>
      <c r="G23" s="132">
        <v>12</v>
      </c>
      <c r="H23" s="132">
        <v>12</v>
      </c>
    </row>
    <row r="24" spans="4:8" ht="15.75" thickBot="1" x14ac:dyDescent="0.3">
      <c r="D24" s="136" t="s">
        <v>359</v>
      </c>
      <c r="E24" s="132">
        <v>8</v>
      </c>
      <c r="F24" s="132">
        <v>8</v>
      </c>
      <c r="G24" s="132">
        <v>8</v>
      </c>
      <c r="H24" s="132">
        <v>8</v>
      </c>
    </row>
    <row r="25" spans="4:8" ht="15.75" thickBot="1" x14ac:dyDescent="0.3">
      <c r="D25" s="425" t="s">
        <v>69</v>
      </c>
      <c r="E25" s="426"/>
      <c r="F25" s="426"/>
      <c r="G25" s="426"/>
      <c r="H25" s="427"/>
    </row>
    <row r="26" spans="4:8" ht="15.75" thickBot="1" x14ac:dyDescent="0.3">
      <c r="D26" s="428" t="s">
        <v>70</v>
      </c>
      <c r="E26" s="429"/>
      <c r="F26" s="429"/>
      <c r="G26" s="429"/>
      <c r="H26" s="430"/>
    </row>
    <row r="27" spans="4:8" ht="15.75" thickBot="1" x14ac:dyDescent="0.3">
      <c r="D27" s="139" t="s">
        <v>71</v>
      </c>
      <c r="E27" s="467" t="s">
        <v>360</v>
      </c>
      <c r="F27" s="471"/>
      <c r="G27" s="471"/>
      <c r="H27" s="472"/>
    </row>
    <row r="28" spans="4:8" ht="15.75" thickBot="1" x14ac:dyDescent="0.3">
      <c r="D28" s="19" t="s">
        <v>73</v>
      </c>
      <c r="E28" s="335" t="s">
        <v>361</v>
      </c>
      <c r="F28" s="336"/>
      <c r="G28" s="336"/>
      <c r="H28" s="337"/>
    </row>
    <row r="29" spans="4:8" ht="15.75" thickBot="1" x14ac:dyDescent="0.3">
      <c r="D29" s="19" t="s">
        <v>75</v>
      </c>
      <c r="E29" s="347" t="s">
        <v>362</v>
      </c>
      <c r="F29" s="348"/>
      <c r="G29" s="348"/>
      <c r="H29" s="349"/>
    </row>
    <row r="30" spans="4:8" x14ac:dyDescent="0.25">
      <c r="D30" s="350"/>
      <c r="E30" s="20">
        <v>2018</v>
      </c>
      <c r="F30" s="20">
        <v>2019</v>
      </c>
      <c r="G30" s="20">
        <v>2020</v>
      </c>
      <c r="H30" s="20">
        <v>2021</v>
      </c>
    </row>
    <row r="31" spans="4:8" ht="15.75" thickBot="1" x14ac:dyDescent="0.3">
      <c r="D31" s="351"/>
      <c r="E31" s="21" t="s">
        <v>42</v>
      </c>
      <c r="F31" s="21" t="s">
        <v>43</v>
      </c>
      <c r="G31" s="21" t="s">
        <v>43</v>
      </c>
      <c r="H31" s="21" t="s">
        <v>43</v>
      </c>
    </row>
    <row r="32" spans="4:8" ht="15.75" thickBot="1" x14ac:dyDescent="0.3">
      <c r="D32" s="19" t="s">
        <v>77</v>
      </c>
      <c r="E32" s="22">
        <v>46</v>
      </c>
      <c r="F32" s="22">
        <v>46</v>
      </c>
      <c r="G32" s="22">
        <v>46</v>
      </c>
      <c r="H32" s="22">
        <v>46</v>
      </c>
    </row>
    <row r="33" spans="4:8" ht="15.75" thickBot="1" x14ac:dyDescent="0.3">
      <c r="D33" s="19" t="s">
        <v>78</v>
      </c>
      <c r="E33" s="22">
        <v>7168</v>
      </c>
      <c r="F33" s="22">
        <v>7168</v>
      </c>
      <c r="G33" s="22">
        <v>7168</v>
      </c>
      <c r="H33" s="22">
        <v>7168</v>
      </c>
    </row>
    <row r="34" spans="4:8" ht="15.75" thickBot="1" x14ac:dyDescent="0.3">
      <c r="D34" s="19" t="s">
        <v>79</v>
      </c>
      <c r="E34" s="22">
        <f>E33/E32</f>
        <v>155.82608695652175</v>
      </c>
      <c r="F34" s="22">
        <f>F33/F32</f>
        <v>155.82608695652175</v>
      </c>
      <c r="G34" s="22">
        <f>G33/G32</f>
        <v>155.82608695652175</v>
      </c>
      <c r="H34" s="22">
        <f>H33/H32</f>
        <v>155.82608695652175</v>
      </c>
    </row>
    <row r="35" spans="4:8" ht="15.75" thickBot="1" x14ac:dyDescent="0.3">
      <c r="D35" s="19" t="s">
        <v>80</v>
      </c>
      <c r="E35" s="260" t="s">
        <v>81</v>
      </c>
      <c r="F35" s="13">
        <f>F32/E32-1</f>
        <v>0</v>
      </c>
      <c r="G35" s="13">
        <f t="shared" ref="G35:H37" si="2">G32/F32-1</f>
        <v>0</v>
      </c>
      <c r="H35" s="13">
        <f t="shared" si="2"/>
        <v>0</v>
      </c>
    </row>
    <row r="36" spans="4:8" ht="15.75" thickBot="1" x14ac:dyDescent="0.3">
      <c r="D36" s="19" t="s">
        <v>82</v>
      </c>
      <c r="E36" s="260" t="s">
        <v>81</v>
      </c>
      <c r="F36" s="13">
        <f>F33/E33-1</f>
        <v>0</v>
      </c>
      <c r="G36" s="13">
        <f t="shared" si="2"/>
        <v>0</v>
      </c>
      <c r="H36" s="13">
        <f t="shared" si="2"/>
        <v>0</v>
      </c>
    </row>
    <row r="37" spans="4:8" ht="15.75" thickBot="1" x14ac:dyDescent="0.3">
      <c r="D37" s="19" t="s">
        <v>83</v>
      </c>
      <c r="E37" s="260" t="s">
        <v>81</v>
      </c>
      <c r="F37" s="13">
        <f>F34/E34-1</f>
        <v>0</v>
      </c>
      <c r="G37" s="13">
        <f t="shared" si="2"/>
        <v>0</v>
      </c>
      <c r="H37" s="13">
        <f t="shared" si="2"/>
        <v>0</v>
      </c>
    </row>
    <row r="38" spans="4:8" ht="15.75" thickBot="1" x14ac:dyDescent="0.3">
      <c r="D38" s="392" t="s">
        <v>84</v>
      </c>
      <c r="E38" s="393"/>
      <c r="F38" s="393"/>
      <c r="G38" s="393"/>
      <c r="H38" s="394"/>
    </row>
    <row r="39" spans="4:8" x14ac:dyDescent="0.25">
      <c r="D39" s="350"/>
      <c r="E39" s="20">
        <v>2018</v>
      </c>
      <c r="F39" s="20">
        <v>2019</v>
      </c>
      <c r="G39" s="20">
        <v>2020</v>
      </c>
      <c r="H39" s="20">
        <v>2021</v>
      </c>
    </row>
    <row r="40" spans="4:8" ht="15.75" thickBot="1" x14ac:dyDescent="0.3">
      <c r="D40" s="351"/>
      <c r="E40" s="21" t="s">
        <v>42</v>
      </c>
      <c r="F40" s="21" t="s">
        <v>43</v>
      </c>
      <c r="G40" s="21" t="s">
        <v>43</v>
      </c>
      <c r="H40" s="21" t="s">
        <v>43</v>
      </c>
    </row>
    <row r="41" spans="4:8" ht="15.75" thickBot="1" x14ac:dyDescent="0.3">
      <c r="D41" s="141" t="s">
        <v>85</v>
      </c>
      <c r="E41" s="142">
        <v>4803</v>
      </c>
      <c r="F41" s="142">
        <v>4803</v>
      </c>
      <c r="G41" s="142">
        <v>4803</v>
      </c>
      <c r="H41" s="142">
        <v>4803</v>
      </c>
    </row>
    <row r="42" spans="4:8" ht="15.75" thickBot="1" x14ac:dyDescent="0.3">
      <c r="D42" s="141" t="s">
        <v>86</v>
      </c>
      <c r="E42" s="142">
        <v>802</v>
      </c>
      <c r="F42" s="142">
        <v>802</v>
      </c>
      <c r="G42" s="142">
        <v>802</v>
      </c>
      <c r="H42" s="142">
        <v>802</v>
      </c>
    </row>
    <row r="43" spans="4:8" ht="15.75" thickBot="1" x14ac:dyDescent="0.3">
      <c r="D43" s="141" t="s">
        <v>87</v>
      </c>
      <c r="E43" s="144">
        <v>1563</v>
      </c>
      <c r="F43" s="144">
        <v>1563</v>
      </c>
      <c r="G43" s="144">
        <v>1563</v>
      </c>
      <c r="H43" s="144">
        <v>1563</v>
      </c>
    </row>
    <row r="44" spans="4:8" ht="15.75" thickBot="1" x14ac:dyDescent="0.3">
      <c r="D44" s="141" t="s">
        <v>88</v>
      </c>
      <c r="E44" s="144"/>
      <c r="F44" s="142"/>
      <c r="G44" s="142"/>
      <c r="H44" s="142"/>
    </row>
    <row r="45" spans="4:8" ht="15.75" thickBot="1" x14ac:dyDescent="0.3">
      <c r="D45" s="141" t="s">
        <v>89</v>
      </c>
      <c r="E45" s="144"/>
      <c r="F45" s="142"/>
      <c r="G45" s="142"/>
      <c r="H45" s="142"/>
    </row>
    <row r="46" spans="4:8" ht="15.75" thickBot="1" x14ac:dyDescent="0.3">
      <c r="D46" s="141" t="s">
        <v>90</v>
      </c>
      <c r="E46" s="144"/>
      <c r="F46" s="142"/>
      <c r="G46" s="142"/>
      <c r="H46" s="142"/>
    </row>
    <row r="47" spans="4:8" ht="15.75" thickBot="1" x14ac:dyDescent="0.3">
      <c r="D47" s="141" t="s">
        <v>91</v>
      </c>
      <c r="E47" s="144"/>
      <c r="F47" s="142"/>
      <c r="G47" s="142"/>
      <c r="H47" s="142"/>
    </row>
    <row r="48" spans="4:8" ht="15.75" thickBot="1" x14ac:dyDescent="0.3">
      <c r="D48" s="265" t="s">
        <v>92</v>
      </c>
      <c r="E48" s="266">
        <f>E47+E46+E45+E44+E43+E42+E41</f>
        <v>7168</v>
      </c>
      <c r="F48" s="266">
        <f>F47+F46+F45+F44+F43+F42+F41</f>
        <v>7168</v>
      </c>
      <c r="G48" s="266">
        <f>G47+G46+G45+G44+G43+G42+G41</f>
        <v>7168</v>
      </c>
      <c r="H48" s="266">
        <f>H47+H46+H45+H44+H43+H42+H41</f>
        <v>7168</v>
      </c>
    </row>
    <row r="49" spans="4:8" ht="15.75" thickBot="1" x14ac:dyDescent="0.3">
      <c r="D49" s="267" t="s">
        <v>93</v>
      </c>
      <c r="E49" s="268">
        <f>IF(E48-E33=0,0,"Error")</f>
        <v>0</v>
      </c>
      <c r="F49" s="268">
        <f>IF(F48-F33=0,0,"Error")</f>
        <v>0</v>
      </c>
      <c r="G49" s="268">
        <f>IF(G48-G33=0,0,"Error")</f>
        <v>0</v>
      </c>
      <c r="H49" s="268">
        <f>IF(H48-H33=0,0,"Error")</f>
        <v>0</v>
      </c>
    </row>
    <row r="50" spans="4:8" ht="15.75" thickBot="1" x14ac:dyDescent="0.3">
      <c r="D50" s="263" t="s">
        <v>94</v>
      </c>
      <c r="E50" s="347" t="s">
        <v>363</v>
      </c>
      <c r="F50" s="348"/>
      <c r="G50" s="348"/>
      <c r="H50" s="349"/>
    </row>
    <row r="51" spans="4:8" ht="15.75" thickBot="1" x14ac:dyDescent="0.3">
      <c r="D51" s="19" t="s">
        <v>73</v>
      </c>
      <c r="E51" s="467" t="s">
        <v>364</v>
      </c>
      <c r="F51" s="468"/>
      <c r="G51" s="468"/>
      <c r="H51" s="469"/>
    </row>
    <row r="52" spans="4:8" ht="15.75" thickBot="1" x14ac:dyDescent="0.3">
      <c r="D52" s="19" t="s">
        <v>75</v>
      </c>
      <c r="E52" s="470" t="s">
        <v>365</v>
      </c>
      <c r="F52" s="471"/>
      <c r="G52" s="471"/>
      <c r="H52" s="472"/>
    </row>
    <row r="53" spans="4:8" ht="15.75" thickBot="1" x14ac:dyDescent="0.3">
      <c r="D53" s="19" t="s">
        <v>77</v>
      </c>
      <c r="E53" s="22">
        <v>24</v>
      </c>
      <c r="F53" s="22">
        <v>24</v>
      </c>
      <c r="G53" s="22">
        <v>24</v>
      </c>
      <c r="H53" s="22">
        <v>24</v>
      </c>
    </row>
    <row r="54" spans="4:8" x14ac:dyDescent="0.25">
      <c r="D54" s="350"/>
      <c r="E54" s="20">
        <v>2018</v>
      </c>
      <c r="F54" s="20">
        <v>2019</v>
      </c>
      <c r="G54" s="20">
        <v>2020</v>
      </c>
      <c r="H54" s="20">
        <v>2021</v>
      </c>
    </row>
    <row r="55" spans="4:8" ht="15.75" thickBot="1" x14ac:dyDescent="0.3">
      <c r="D55" s="351"/>
      <c r="E55" s="21" t="s">
        <v>42</v>
      </c>
      <c r="F55" s="21" t="s">
        <v>43</v>
      </c>
      <c r="G55" s="21" t="s">
        <v>43</v>
      </c>
      <c r="H55" s="21" t="s">
        <v>43</v>
      </c>
    </row>
    <row r="56" spans="4:8" ht="15.75" thickBot="1" x14ac:dyDescent="0.3">
      <c r="D56" s="19" t="s">
        <v>78</v>
      </c>
      <c r="E56" s="22">
        <v>3740</v>
      </c>
      <c r="F56" s="22">
        <v>3740</v>
      </c>
      <c r="G56" s="22">
        <v>3740</v>
      </c>
      <c r="H56" s="22">
        <v>3740</v>
      </c>
    </row>
    <row r="57" spans="4:8" ht="15.75" thickBot="1" x14ac:dyDescent="0.3">
      <c r="D57" s="19" t="s">
        <v>79</v>
      </c>
      <c r="E57" s="22">
        <f>E56/E53</f>
        <v>155.83333333333334</v>
      </c>
      <c r="F57" s="22">
        <f>F56/F53</f>
        <v>155.83333333333334</v>
      </c>
      <c r="G57" s="22">
        <f>G56/G53</f>
        <v>155.83333333333334</v>
      </c>
      <c r="H57" s="22">
        <f>H56/H53</f>
        <v>155.83333333333334</v>
      </c>
    </row>
    <row r="58" spans="4:8" ht="15.75" thickBot="1" x14ac:dyDescent="0.3">
      <c r="D58" s="19" t="s">
        <v>80</v>
      </c>
      <c r="E58" s="260"/>
      <c r="F58" s="13">
        <f>F53/E53-1</f>
        <v>0</v>
      </c>
      <c r="G58" s="13">
        <f>G53/F53-1</f>
        <v>0</v>
      </c>
      <c r="H58" s="13">
        <f>H53/G53-1</f>
        <v>0</v>
      </c>
    </row>
    <row r="59" spans="4:8" ht="15.75" thickBot="1" x14ac:dyDescent="0.3">
      <c r="D59" s="19" t="s">
        <v>82</v>
      </c>
      <c r="E59" s="260"/>
      <c r="F59" s="13">
        <f>F56/E56-1</f>
        <v>0</v>
      </c>
      <c r="G59" s="13">
        <f t="shared" ref="G59:H60" si="3">G56/F56-1</f>
        <v>0</v>
      </c>
      <c r="H59" s="13">
        <f t="shared" si="3"/>
        <v>0</v>
      </c>
    </row>
    <row r="60" spans="4:8" ht="15.75" thickBot="1" x14ac:dyDescent="0.3">
      <c r="D60" s="19" t="s">
        <v>83</v>
      </c>
      <c r="E60" s="260"/>
      <c r="F60" s="13">
        <f>F57/E57-1</f>
        <v>0</v>
      </c>
      <c r="G60" s="13">
        <f t="shared" si="3"/>
        <v>0</v>
      </c>
      <c r="H60" s="13">
        <f t="shared" si="3"/>
        <v>0</v>
      </c>
    </row>
    <row r="61" spans="4:8" ht="15.75" thickBot="1" x14ac:dyDescent="0.3">
      <c r="D61" s="392" t="s">
        <v>366</v>
      </c>
      <c r="E61" s="393"/>
      <c r="F61" s="393"/>
      <c r="G61" s="393"/>
      <c r="H61" s="394"/>
    </row>
    <row r="62" spans="4:8" x14ac:dyDescent="0.25">
      <c r="D62" s="350"/>
      <c r="E62" s="20">
        <v>2018</v>
      </c>
      <c r="F62" s="20">
        <v>2019</v>
      </c>
      <c r="G62" s="20">
        <v>2020</v>
      </c>
      <c r="H62" s="20">
        <v>2021</v>
      </c>
    </row>
    <row r="63" spans="4:8" ht="15.75" thickBot="1" x14ac:dyDescent="0.3">
      <c r="D63" s="351"/>
      <c r="E63" s="21" t="s">
        <v>42</v>
      </c>
      <c r="F63" s="21" t="s">
        <v>43</v>
      </c>
      <c r="G63" s="21" t="s">
        <v>43</v>
      </c>
      <c r="H63" s="21" t="s">
        <v>43</v>
      </c>
    </row>
    <row r="64" spans="4:8" ht="15.75" thickBot="1" x14ac:dyDescent="0.3">
      <c r="D64" s="141" t="s">
        <v>85</v>
      </c>
      <c r="E64" s="142">
        <v>2506</v>
      </c>
      <c r="F64" s="142">
        <v>2506</v>
      </c>
      <c r="G64" s="142">
        <v>2506</v>
      </c>
      <c r="H64" s="142">
        <v>2506</v>
      </c>
    </row>
    <row r="65" spans="4:8" ht="15.75" thickBot="1" x14ac:dyDescent="0.3">
      <c r="D65" s="141" t="s">
        <v>86</v>
      </c>
      <c r="E65" s="142">
        <v>418</v>
      </c>
      <c r="F65" s="142">
        <v>418</v>
      </c>
      <c r="G65" s="142">
        <v>418</v>
      </c>
      <c r="H65" s="142">
        <v>418</v>
      </c>
    </row>
    <row r="66" spans="4:8" ht="15.75" thickBot="1" x14ac:dyDescent="0.3">
      <c r="D66" s="141" t="s">
        <v>87</v>
      </c>
      <c r="E66" s="144">
        <v>816</v>
      </c>
      <c r="F66" s="144">
        <v>816</v>
      </c>
      <c r="G66" s="144">
        <v>816</v>
      </c>
      <c r="H66" s="144">
        <v>816</v>
      </c>
    </row>
    <row r="67" spans="4:8" ht="15.75" thickBot="1" x14ac:dyDescent="0.3">
      <c r="D67" s="141" t="s">
        <v>88</v>
      </c>
      <c r="E67" s="144"/>
      <c r="F67" s="142"/>
      <c r="G67" s="142"/>
      <c r="H67" s="142"/>
    </row>
    <row r="68" spans="4:8" ht="15.75" thickBot="1" x14ac:dyDescent="0.3">
      <c r="D68" s="141" t="s">
        <v>89</v>
      </c>
      <c r="E68" s="144"/>
      <c r="F68" s="142"/>
      <c r="G68" s="142"/>
      <c r="H68" s="142"/>
    </row>
    <row r="69" spans="4:8" ht="15.75" thickBot="1" x14ac:dyDescent="0.3">
      <c r="D69" s="141" t="s">
        <v>90</v>
      </c>
      <c r="E69" s="144"/>
      <c r="F69" s="142"/>
      <c r="G69" s="142"/>
      <c r="H69" s="142"/>
    </row>
    <row r="70" spans="4:8" ht="15.75" thickBot="1" x14ac:dyDescent="0.3">
      <c r="D70" s="141" t="s">
        <v>91</v>
      </c>
      <c r="E70" s="144"/>
      <c r="F70" s="142"/>
      <c r="G70" s="142"/>
      <c r="H70" s="142"/>
    </row>
    <row r="71" spans="4:8" ht="15.75" thickBot="1" x14ac:dyDescent="0.3">
      <c r="D71" s="269" t="s">
        <v>99</v>
      </c>
      <c r="E71" s="266">
        <f>E70+E69+E68+E67+E66+E65+E64</f>
        <v>3740</v>
      </c>
      <c r="F71" s="266">
        <f>F70+F69+F68+F67+F66+F65+F64</f>
        <v>3740</v>
      </c>
      <c r="G71" s="266">
        <f>G70+G69+G68+G67+G66+G65+G64</f>
        <v>3740</v>
      </c>
      <c r="H71" s="266">
        <f>H70+H69+H68+H67+H66+H65+H64</f>
        <v>3740</v>
      </c>
    </row>
    <row r="72" spans="4:8" ht="15.75" thickBot="1" x14ac:dyDescent="0.3">
      <c r="D72" s="267" t="s">
        <v>93</v>
      </c>
      <c r="E72" s="268">
        <f>IF(E71-E56=0,0,"Error")</f>
        <v>0</v>
      </c>
      <c r="F72" s="268">
        <f>IF(F71-F56=0,0,"Error")</f>
        <v>0</v>
      </c>
      <c r="G72" s="268">
        <f>IF(G71-G56=0,0,"Error")</f>
        <v>0</v>
      </c>
      <c r="H72" s="268">
        <f>IF(H71-H56=0,0,"Error")</f>
        <v>0</v>
      </c>
    </row>
    <row r="73" spans="4:8" ht="15.75" thickBot="1" x14ac:dyDescent="0.3">
      <c r="D73" s="263" t="s">
        <v>100</v>
      </c>
      <c r="E73" s="467" t="s">
        <v>367</v>
      </c>
      <c r="F73" s="471"/>
      <c r="G73" s="471"/>
      <c r="H73" s="472"/>
    </row>
    <row r="74" spans="4:8" ht="31.5" customHeight="1" thickBot="1" x14ac:dyDescent="0.3">
      <c r="D74" s="19" t="s">
        <v>73</v>
      </c>
      <c r="E74" s="335" t="s">
        <v>368</v>
      </c>
      <c r="F74" s="336"/>
      <c r="G74" s="336"/>
      <c r="H74" s="337"/>
    </row>
    <row r="75" spans="4:8" ht="15.75" thickBot="1" x14ac:dyDescent="0.3">
      <c r="D75" s="19" t="s">
        <v>75</v>
      </c>
      <c r="E75" s="347" t="s">
        <v>369</v>
      </c>
      <c r="F75" s="348"/>
      <c r="G75" s="348"/>
      <c r="H75" s="349"/>
    </row>
    <row r="76" spans="4:8" ht="15.75" thickBot="1" x14ac:dyDescent="0.3">
      <c r="D76" s="19" t="s">
        <v>77</v>
      </c>
      <c r="E76" s="22">
        <v>24</v>
      </c>
      <c r="F76" s="22">
        <v>24</v>
      </c>
      <c r="G76" s="22">
        <v>24</v>
      </c>
      <c r="H76" s="22">
        <v>24</v>
      </c>
    </row>
    <row r="77" spans="4:8" x14ac:dyDescent="0.25">
      <c r="D77" s="350"/>
      <c r="E77" s="20">
        <v>2018</v>
      </c>
      <c r="F77" s="20">
        <v>2019</v>
      </c>
      <c r="G77" s="20">
        <v>2020</v>
      </c>
      <c r="H77" s="20">
        <v>2021</v>
      </c>
    </row>
    <row r="78" spans="4:8" ht="15.75" thickBot="1" x14ac:dyDescent="0.3">
      <c r="D78" s="351"/>
      <c r="E78" s="21" t="s">
        <v>42</v>
      </c>
      <c r="F78" s="21" t="s">
        <v>43</v>
      </c>
      <c r="G78" s="21" t="s">
        <v>43</v>
      </c>
      <c r="H78" s="21" t="s">
        <v>43</v>
      </c>
    </row>
    <row r="79" spans="4:8" ht="15.75" thickBot="1" x14ac:dyDescent="0.3">
      <c r="D79" s="19" t="s">
        <v>78</v>
      </c>
      <c r="E79" s="22">
        <v>3740</v>
      </c>
      <c r="F79" s="22">
        <v>3740</v>
      </c>
      <c r="G79" s="22">
        <v>3740</v>
      </c>
      <c r="H79" s="22">
        <v>3740</v>
      </c>
    </row>
    <row r="80" spans="4:8" ht="15.75" thickBot="1" x14ac:dyDescent="0.3">
      <c r="D80" s="19" t="s">
        <v>79</v>
      </c>
      <c r="E80" s="22">
        <f>E79/E76</f>
        <v>155.83333333333334</v>
      </c>
      <c r="F80" s="22">
        <f>F79/F76</f>
        <v>155.83333333333334</v>
      </c>
      <c r="G80" s="22">
        <f>G79/G76</f>
        <v>155.83333333333334</v>
      </c>
      <c r="H80" s="22">
        <f>H79/H76</f>
        <v>155.83333333333334</v>
      </c>
    </row>
    <row r="81" spans="4:8" ht="15.75" thickBot="1" x14ac:dyDescent="0.3">
      <c r="D81" s="19" t="s">
        <v>80</v>
      </c>
      <c r="E81" s="260"/>
      <c r="F81" s="13">
        <f>F76/E76-1</f>
        <v>0</v>
      </c>
      <c r="G81" s="13">
        <f>G76/F76-1</f>
        <v>0</v>
      </c>
      <c r="H81" s="13">
        <f>H76/G76-1</f>
        <v>0</v>
      </c>
    </row>
    <row r="82" spans="4:8" ht="15.75" thickBot="1" x14ac:dyDescent="0.3">
      <c r="D82" s="19" t="s">
        <v>82</v>
      </c>
      <c r="E82" s="260"/>
      <c r="F82" s="13">
        <f>F79/E79-1</f>
        <v>0</v>
      </c>
      <c r="G82" s="13">
        <f t="shared" ref="G82:H83" si="4">G79/F79-1</f>
        <v>0</v>
      </c>
      <c r="H82" s="13">
        <f t="shared" si="4"/>
        <v>0</v>
      </c>
    </row>
    <row r="83" spans="4:8" ht="15.75" thickBot="1" x14ac:dyDescent="0.3">
      <c r="D83" s="19" t="s">
        <v>83</v>
      </c>
      <c r="E83" s="260"/>
      <c r="F83" s="13">
        <f>F80/E80-1</f>
        <v>0</v>
      </c>
      <c r="G83" s="13">
        <f t="shared" si="4"/>
        <v>0</v>
      </c>
      <c r="H83" s="13">
        <f t="shared" si="4"/>
        <v>0</v>
      </c>
    </row>
    <row r="84" spans="4:8" ht="15.75" thickBot="1" x14ac:dyDescent="0.3">
      <c r="D84" s="392" t="s">
        <v>370</v>
      </c>
      <c r="E84" s="393"/>
      <c r="F84" s="393"/>
      <c r="G84" s="393"/>
      <c r="H84" s="394"/>
    </row>
    <row r="85" spans="4:8" x14ac:dyDescent="0.25">
      <c r="D85" s="350"/>
      <c r="E85" s="20">
        <v>2018</v>
      </c>
      <c r="F85" s="20">
        <v>2019</v>
      </c>
      <c r="G85" s="20">
        <v>2020</v>
      </c>
      <c r="H85" s="20">
        <v>2021</v>
      </c>
    </row>
    <row r="86" spans="4:8" ht="15.75" thickBot="1" x14ac:dyDescent="0.3">
      <c r="D86" s="351"/>
      <c r="E86" s="21" t="s">
        <v>42</v>
      </c>
      <c r="F86" s="21" t="s">
        <v>43</v>
      </c>
      <c r="G86" s="21" t="s">
        <v>43</v>
      </c>
      <c r="H86" s="21" t="s">
        <v>43</v>
      </c>
    </row>
    <row r="87" spans="4:8" ht="15.75" thickBot="1" x14ac:dyDescent="0.3">
      <c r="D87" s="141" t="s">
        <v>85</v>
      </c>
      <c r="E87" s="142">
        <v>2506</v>
      </c>
      <c r="F87" s="142">
        <v>2506</v>
      </c>
      <c r="G87" s="142">
        <v>2506</v>
      </c>
      <c r="H87" s="142">
        <v>2506</v>
      </c>
    </row>
    <row r="88" spans="4:8" ht="15.75" thickBot="1" x14ac:dyDescent="0.3">
      <c r="D88" s="141" t="s">
        <v>86</v>
      </c>
      <c r="E88" s="142">
        <v>418</v>
      </c>
      <c r="F88" s="142">
        <v>418</v>
      </c>
      <c r="G88" s="142">
        <v>418</v>
      </c>
      <c r="H88" s="142">
        <v>418</v>
      </c>
    </row>
    <row r="89" spans="4:8" ht="15.75" thickBot="1" x14ac:dyDescent="0.3">
      <c r="D89" s="141" t="s">
        <v>87</v>
      </c>
      <c r="E89" s="144">
        <v>816</v>
      </c>
      <c r="F89" s="144">
        <v>816</v>
      </c>
      <c r="G89" s="144">
        <v>816</v>
      </c>
      <c r="H89" s="144">
        <v>816</v>
      </c>
    </row>
    <row r="90" spans="4:8" ht="15.75" thickBot="1" x14ac:dyDescent="0.3">
      <c r="D90" s="141" t="s">
        <v>88</v>
      </c>
      <c r="E90" s="144"/>
      <c r="F90" s="142"/>
      <c r="G90" s="142"/>
      <c r="H90" s="142"/>
    </row>
    <row r="91" spans="4:8" ht="15.75" thickBot="1" x14ac:dyDescent="0.3">
      <c r="D91" s="141" t="s">
        <v>89</v>
      </c>
      <c r="E91" s="144"/>
      <c r="F91" s="142"/>
      <c r="G91" s="142"/>
      <c r="H91" s="142"/>
    </row>
    <row r="92" spans="4:8" ht="15.75" thickBot="1" x14ac:dyDescent="0.3">
      <c r="D92" s="141" t="s">
        <v>90</v>
      </c>
      <c r="E92" s="144"/>
      <c r="F92" s="142"/>
      <c r="G92" s="142"/>
      <c r="H92" s="142"/>
    </row>
    <row r="93" spans="4:8" ht="15.75" thickBot="1" x14ac:dyDescent="0.3">
      <c r="D93" s="141" t="s">
        <v>91</v>
      </c>
      <c r="E93" s="144"/>
      <c r="F93" s="142"/>
      <c r="G93" s="142"/>
      <c r="H93" s="142"/>
    </row>
    <row r="94" spans="4:8" ht="15.75" thickBot="1" x14ac:dyDescent="0.3">
      <c r="D94" s="269" t="s">
        <v>104</v>
      </c>
      <c r="E94" s="266">
        <f>E93+E92+E91+E90+E89+E88+E87</f>
        <v>3740</v>
      </c>
      <c r="F94" s="266">
        <f>F93+F92+F91+F90+F89+F88+F87</f>
        <v>3740</v>
      </c>
      <c r="G94" s="266">
        <f>G93+G92+G91+G90+G89+G88+G87</f>
        <v>3740</v>
      </c>
      <c r="H94" s="266">
        <f>H93+H92+H91+H90+H89+H88+H87</f>
        <v>3740</v>
      </c>
    </row>
    <row r="95" spans="4:8" ht="15.75" thickBot="1" x14ac:dyDescent="0.3">
      <c r="D95" s="267" t="s">
        <v>93</v>
      </c>
      <c r="E95" s="268">
        <f>IF(E94-E79=0,0,"Error")</f>
        <v>0</v>
      </c>
      <c r="F95" s="268">
        <f>IF(F94-F79=0,0,"Error")</f>
        <v>0</v>
      </c>
      <c r="G95" s="268">
        <f>IF(G94-G79=0,0,"Error")</f>
        <v>0</v>
      </c>
      <c r="H95" s="268">
        <f>IF(H94-H79=0,0,"Error")</f>
        <v>0</v>
      </c>
    </row>
    <row r="96" spans="4:8" ht="15.75" thickBot="1" x14ac:dyDescent="0.3">
      <c r="D96" s="263" t="s">
        <v>116</v>
      </c>
      <c r="E96" s="467" t="s">
        <v>371</v>
      </c>
      <c r="F96" s="471"/>
      <c r="G96" s="471"/>
      <c r="H96" s="472"/>
    </row>
    <row r="97" spans="4:8" ht="15.75" thickBot="1" x14ac:dyDescent="0.3">
      <c r="D97" s="19" t="s">
        <v>73</v>
      </c>
      <c r="E97" s="335" t="s">
        <v>372</v>
      </c>
      <c r="F97" s="336"/>
      <c r="G97" s="336"/>
      <c r="H97" s="337"/>
    </row>
    <row r="98" spans="4:8" ht="15.75" thickBot="1" x14ac:dyDescent="0.3">
      <c r="D98" s="19" t="s">
        <v>75</v>
      </c>
      <c r="E98" s="347" t="s">
        <v>373</v>
      </c>
      <c r="F98" s="348"/>
      <c r="G98" s="348"/>
      <c r="H98" s="349"/>
    </row>
    <row r="99" spans="4:8" x14ac:dyDescent="0.25">
      <c r="D99" s="350"/>
      <c r="E99" s="20">
        <v>2018</v>
      </c>
      <c r="F99" s="20">
        <v>2019</v>
      </c>
      <c r="G99" s="20">
        <v>2020</v>
      </c>
      <c r="H99" s="20">
        <v>2021</v>
      </c>
    </row>
    <row r="100" spans="4:8" ht="15.75" thickBot="1" x14ac:dyDescent="0.3">
      <c r="D100" s="351"/>
      <c r="E100" s="21" t="s">
        <v>42</v>
      </c>
      <c r="F100" s="21" t="s">
        <v>43</v>
      </c>
      <c r="G100" s="21" t="s">
        <v>43</v>
      </c>
      <c r="H100" s="21" t="s">
        <v>43</v>
      </c>
    </row>
    <row r="101" spans="4:8" ht="15.75" thickBot="1" x14ac:dyDescent="0.3">
      <c r="D101" s="19" t="s">
        <v>77</v>
      </c>
      <c r="E101" s="22">
        <v>16</v>
      </c>
      <c r="F101" s="22">
        <v>16</v>
      </c>
      <c r="G101" s="22">
        <v>16</v>
      </c>
      <c r="H101" s="22">
        <v>16</v>
      </c>
    </row>
    <row r="102" spans="4:8" ht="15.75" thickBot="1" x14ac:dyDescent="0.3">
      <c r="D102" s="19" t="s">
        <v>78</v>
      </c>
      <c r="E102" s="22">
        <v>2494</v>
      </c>
      <c r="F102" s="22">
        <v>2494</v>
      </c>
      <c r="G102" s="22">
        <v>2494</v>
      </c>
      <c r="H102" s="22">
        <v>2494</v>
      </c>
    </row>
    <row r="103" spans="4:8" ht="15.75" thickBot="1" x14ac:dyDescent="0.3">
      <c r="D103" s="19" t="s">
        <v>79</v>
      </c>
      <c r="E103" s="22">
        <f>E102/E101</f>
        <v>155.875</v>
      </c>
      <c r="F103" s="22">
        <f>F102/F101</f>
        <v>155.875</v>
      </c>
      <c r="G103" s="22">
        <f>G102/G101</f>
        <v>155.875</v>
      </c>
      <c r="H103" s="22">
        <f>H102/H101</f>
        <v>155.875</v>
      </c>
    </row>
    <row r="104" spans="4:8" ht="15.75" thickBot="1" x14ac:dyDescent="0.3">
      <c r="D104" s="19" t="s">
        <v>80</v>
      </c>
      <c r="E104" s="260"/>
      <c r="F104" s="13">
        <f>F101/E101-1</f>
        <v>0</v>
      </c>
      <c r="G104" s="13">
        <f>G101/F101-1</f>
        <v>0</v>
      </c>
      <c r="H104" s="13">
        <f>H101/G101-1</f>
        <v>0</v>
      </c>
    </row>
    <row r="105" spans="4:8" ht="15.75" thickBot="1" x14ac:dyDescent="0.3">
      <c r="D105" s="19" t="s">
        <v>82</v>
      </c>
      <c r="E105" s="260"/>
      <c r="F105" s="13">
        <f>F102/E102-1</f>
        <v>0</v>
      </c>
      <c r="G105" s="13">
        <f t="shared" ref="G105:H106" si="5">G102/F102-1</f>
        <v>0</v>
      </c>
      <c r="H105" s="13">
        <f t="shared" si="5"/>
        <v>0</v>
      </c>
    </row>
    <row r="106" spans="4:8" ht="15.75" thickBot="1" x14ac:dyDescent="0.3">
      <c r="D106" s="19" t="s">
        <v>83</v>
      </c>
      <c r="E106" s="260"/>
      <c r="F106" s="13">
        <f>F103/E103-1</f>
        <v>0</v>
      </c>
      <c r="G106" s="13">
        <f t="shared" si="5"/>
        <v>0</v>
      </c>
      <c r="H106" s="13">
        <f t="shared" si="5"/>
        <v>0</v>
      </c>
    </row>
    <row r="107" spans="4:8" ht="15.75" thickBot="1" x14ac:dyDescent="0.3">
      <c r="D107" s="392" t="s">
        <v>374</v>
      </c>
      <c r="E107" s="393"/>
      <c r="F107" s="393"/>
      <c r="G107" s="393"/>
      <c r="H107" s="394"/>
    </row>
    <row r="108" spans="4:8" x14ac:dyDescent="0.25">
      <c r="D108" s="350"/>
      <c r="E108" s="20">
        <v>2018</v>
      </c>
      <c r="F108" s="20">
        <v>2019</v>
      </c>
      <c r="G108" s="20">
        <v>2020</v>
      </c>
      <c r="H108" s="20">
        <v>2021</v>
      </c>
    </row>
    <row r="109" spans="4:8" ht="15.75" thickBot="1" x14ac:dyDescent="0.3">
      <c r="D109" s="351"/>
      <c r="E109" s="21" t="s">
        <v>42</v>
      </c>
      <c r="F109" s="21" t="s">
        <v>43</v>
      </c>
      <c r="G109" s="21" t="s">
        <v>43</v>
      </c>
      <c r="H109" s="21" t="s">
        <v>43</v>
      </c>
    </row>
    <row r="110" spans="4:8" ht="15.75" thickBot="1" x14ac:dyDescent="0.3">
      <c r="D110" s="141" t="s">
        <v>85</v>
      </c>
      <c r="E110" s="142">
        <v>1671</v>
      </c>
      <c r="F110" s="142">
        <v>1671</v>
      </c>
      <c r="G110" s="142">
        <v>1671</v>
      </c>
      <c r="H110" s="142">
        <v>1671</v>
      </c>
    </row>
    <row r="111" spans="4:8" ht="15.75" thickBot="1" x14ac:dyDescent="0.3">
      <c r="D111" s="262" t="s">
        <v>86</v>
      </c>
      <c r="E111" s="142">
        <v>279</v>
      </c>
      <c r="F111" s="142">
        <v>279</v>
      </c>
      <c r="G111" s="142">
        <v>279</v>
      </c>
      <c r="H111" s="142">
        <v>279</v>
      </c>
    </row>
    <row r="112" spans="4:8" ht="15.75" thickBot="1" x14ac:dyDescent="0.3">
      <c r="D112" s="141" t="s">
        <v>87</v>
      </c>
      <c r="E112" s="144">
        <v>544</v>
      </c>
      <c r="F112" s="144">
        <v>544</v>
      </c>
      <c r="G112" s="144">
        <v>544</v>
      </c>
      <c r="H112" s="144">
        <v>544</v>
      </c>
    </row>
    <row r="113" spans="4:8" ht="15.75" thickBot="1" x14ac:dyDescent="0.3">
      <c r="D113" s="141" t="s">
        <v>88</v>
      </c>
      <c r="E113" s="144"/>
      <c r="F113" s="142"/>
      <c r="G113" s="142"/>
      <c r="H113" s="142"/>
    </row>
    <row r="114" spans="4:8" ht="15.75" thickBot="1" x14ac:dyDescent="0.3">
      <c r="D114" s="141" t="s">
        <v>89</v>
      </c>
      <c r="E114" s="144"/>
      <c r="F114" s="142"/>
      <c r="G114" s="142"/>
      <c r="H114" s="142"/>
    </row>
    <row r="115" spans="4:8" ht="15.75" thickBot="1" x14ac:dyDescent="0.3">
      <c r="D115" s="141" t="s">
        <v>90</v>
      </c>
      <c r="E115" s="144"/>
      <c r="F115" s="142"/>
      <c r="G115" s="142"/>
      <c r="H115" s="142"/>
    </row>
    <row r="116" spans="4:8" ht="15.75" thickBot="1" x14ac:dyDescent="0.3">
      <c r="D116" s="141" t="s">
        <v>91</v>
      </c>
      <c r="E116" s="144"/>
      <c r="F116" s="142"/>
      <c r="G116" s="142"/>
      <c r="H116" s="142"/>
    </row>
    <row r="117" spans="4:8" ht="15.75" thickBot="1" x14ac:dyDescent="0.3">
      <c r="D117" s="269" t="s">
        <v>265</v>
      </c>
      <c r="E117" s="266">
        <f>E116+E115+E114+E113+E112+E111+E110</f>
        <v>2494</v>
      </c>
      <c r="F117" s="266">
        <f>F116+F115+F114+F113+F112+F111+F110</f>
        <v>2494</v>
      </c>
      <c r="G117" s="266">
        <f>G116+G115+G114+G113+G112+G111+G110</f>
        <v>2494</v>
      </c>
      <c r="H117" s="266">
        <f>H116+H115+H114+H113+H112+H111+H110</f>
        <v>2494</v>
      </c>
    </row>
    <row r="118" spans="4:8" ht="15.75" thickBot="1" x14ac:dyDescent="0.3">
      <c r="D118" s="267" t="s">
        <v>93</v>
      </c>
      <c r="E118" s="268">
        <f>IF(E117-E102=0,0,"Error")</f>
        <v>0</v>
      </c>
      <c r="F118" s="268">
        <f>IF(F117-F102=0,0,"Error")</f>
        <v>0</v>
      </c>
      <c r="G118" s="268">
        <f>IF(G117-G102=0,0,"Error")</f>
        <v>0</v>
      </c>
      <c r="H118" s="268">
        <f>IF(H117-H102=0,0,"Error")</f>
        <v>0</v>
      </c>
    </row>
    <row r="119" spans="4:8" ht="15.75" thickBot="1" x14ac:dyDescent="0.3">
      <c r="D119" s="96" t="s">
        <v>182</v>
      </c>
      <c r="E119" s="473" t="s">
        <v>378</v>
      </c>
      <c r="F119" s="474"/>
      <c r="G119" s="474"/>
      <c r="H119" s="475"/>
    </row>
    <row r="120" spans="4:8" ht="15.75" thickBot="1" x14ac:dyDescent="0.3">
      <c r="D120" s="335" t="s">
        <v>379</v>
      </c>
      <c r="E120" s="336"/>
      <c r="F120" s="336"/>
      <c r="G120" s="336"/>
      <c r="H120" s="337"/>
    </row>
    <row r="121" spans="4:8" ht="23.25" thickBot="1" x14ac:dyDescent="0.3">
      <c r="D121" s="261" t="s">
        <v>380</v>
      </c>
      <c r="E121" s="132">
        <v>10</v>
      </c>
      <c r="F121" s="132">
        <v>10</v>
      </c>
      <c r="G121" s="132">
        <v>10</v>
      </c>
      <c r="H121" s="132">
        <v>10</v>
      </c>
    </row>
    <row r="122" spans="4:8" ht="15.75" thickBot="1" x14ac:dyDescent="0.3">
      <c r="D122" s="19" t="s">
        <v>381</v>
      </c>
      <c r="E122" s="14" t="s">
        <v>61</v>
      </c>
      <c r="F122" s="14" t="s">
        <v>62</v>
      </c>
      <c r="G122" s="14" t="s">
        <v>62</v>
      </c>
      <c r="H122" s="14" t="s">
        <v>62</v>
      </c>
    </row>
    <row r="123" spans="4:8" ht="15.75" thickBot="1" x14ac:dyDescent="0.3">
      <c r="D123" s="19" t="s">
        <v>354</v>
      </c>
      <c r="E123" s="14" t="s">
        <v>61</v>
      </c>
      <c r="F123" s="14" t="s">
        <v>62</v>
      </c>
      <c r="G123" s="14" t="s">
        <v>62</v>
      </c>
      <c r="H123" s="14" t="s">
        <v>62</v>
      </c>
    </row>
    <row r="124" spans="4:8" ht="15.75" thickBot="1" x14ac:dyDescent="0.3">
      <c r="D124" s="392" t="s">
        <v>197</v>
      </c>
      <c r="E124" s="393"/>
      <c r="F124" s="393"/>
      <c r="G124" s="393"/>
      <c r="H124" s="394"/>
    </row>
    <row r="125" spans="4:8" ht="15.75" thickBot="1" x14ac:dyDescent="0.3">
      <c r="D125" s="476" t="s">
        <v>115</v>
      </c>
      <c r="E125" s="477"/>
      <c r="F125" s="477"/>
      <c r="G125" s="477"/>
      <c r="H125" s="478"/>
    </row>
    <row r="126" spans="4:8" x14ac:dyDescent="0.25">
      <c r="D126" s="350"/>
      <c r="E126" s="20">
        <v>2018</v>
      </c>
      <c r="F126" s="20">
        <v>2019</v>
      </c>
      <c r="G126" s="20">
        <v>2020</v>
      </c>
      <c r="H126" s="20">
        <v>2021</v>
      </c>
    </row>
    <row r="127" spans="4:8" ht="15.75" thickBot="1" x14ac:dyDescent="0.3">
      <c r="D127" s="351"/>
      <c r="E127" s="21" t="s">
        <v>42</v>
      </c>
      <c r="F127" s="21" t="s">
        <v>43</v>
      </c>
      <c r="G127" s="21" t="s">
        <v>43</v>
      </c>
      <c r="H127" s="21" t="s">
        <v>43</v>
      </c>
    </row>
    <row r="128" spans="4:8" ht="15.75" thickBot="1" x14ac:dyDescent="0.3">
      <c r="D128" s="139" t="s">
        <v>109</v>
      </c>
      <c r="E128" s="335" t="s">
        <v>382</v>
      </c>
      <c r="F128" s="336"/>
      <c r="G128" s="336"/>
      <c r="H128" s="337"/>
    </row>
    <row r="129" spans="4:8" ht="15.75" thickBot="1" x14ac:dyDescent="0.3">
      <c r="D129" s="19" t="s">
        <v>73</v>
      </c>
      <c r="E129" s="335" t="s">
        <v>383</v>
      </c>
      <c r="F129" s="336"/>
      <c r="G129" s="336"/>
      <c r="H129" s="337"/>
    </row>
    <row r="130" spans="4:8" ht="15.75" thickBot="1" x14ac:dyDescent="0.3">
      <c r="D130" s="19" t="s">
        <v>75</v>
      </c>
      <c r="E130" s="347" t="s">
        <v>384</v>
      </c>
      <c r="F130" s="348"/>
      <c r="G130" s="348"/>
      <c r="H130" s="349"/>
    </row>
    <row r="131" spans="4:8" x14ac:dyDescent="0.25">
      <c r="D131" s="350"/>
      <c r="E131" s="20">
        <v>2018</v>
      </c>
      <c r="F131" s="20">
        <v>2019</v>
      </c>
      <c r="G131" s="20">
        <v>2020</v>
      </c>
      <c r="H131" s="20">
        <v>2021</v>
      </c>
    </row>
    <row r="132" spans="4:8" ht="15.75" thickBot="1" x14ac:dyDescent="0.3">
      <c r="D132" s="351"/>
      <c r="E132" s="21" t="s">
        <v>42</v>
      </c>
      <c r="F132" s="21" t="s">
        <v>43</v>
      </c>
      <c r="G132" s="21" t="s">
        <v>43</v>
      </c>
      <c r="H132" s="21" t="s">
        <v>43</v>
      </c>
    </row>
    <row r="133" spans="4:8" ht="15.75" thickBot="1" x14ac:dyDescent="0.3">
      <c r="D133" s="19" t="s">
        <v>77</v>
      </c>
      <c r="E133" s="22">
        <v>10</v>
      </c>
      <c r="F133" s="22">
        <v>10</v>
      </c>
      <c r="G133" s="22">
        <v>10</v>
      </c>
      <c r="H133" s="22">
        <v>10</v>
      </c>
    </row>
    <row r="134" spans="4:8" ht="15.75" thickBot="1" x14ac:dyDescent="0.3">
      <c r="D134" s="19" t="s">
        <v>78</v>
      </c>
      <c r="E134" s="22">
        <v>1558</v>
      </c>
      <c r="F134" s="22">
        <v>1558</v>
      </c>
      <c r="G134" s="22">
        <v>1558</v>
      </c>
      <c r="H134" s="22">
        <v>1558</v>
      </c>
    </row>
    <row r="135" spans="4:8" ht="15.75" thickBot="1" x14ac:dyDescent="0.3">
      <c r="D135" s="19" t="s">
        <v>79</v>
      </c>
      <c r="E135" s="22">
        <f>E134/E133</f>
        <v>155.80000000000001</v>
      </c>
      <c r="F135" s="22">
        <f>F134/F133</f>
        <v>155.80000000000001</v>
      </c>
      <c r="G135" s="22">
        <f>G134/G133</f>
        <v>155.80000000000001</v>
      </c>
      <c r="H135" s="22">
        <f>H134/H133</f>
        <v>155.80000000000001</v>
      </c>
    </row>
    <row r="136" spans="4:8" ht="15.75" thickBot="1" x14ac:dyDescent="0.3">
      <c r="D136" s="19" t="s">
        <v>80</v>
      </c>
      <c r="E136" s="260"/>
      <c r="F136" s="260"/>
      <c r="G136" s="260"/>
      <c r="H136" s="260"/>
    </row>
    <row r="137" spans="4:8" ht="15.75" thickBot="1" x14ac:dyDescent="0.3">
      <c r="D137" s="19" t="s">
        <v>82</v>
      </c>
      <c r="E137" s="260"/>
      <c r="F137" s="260"/>
      <c r="G137" s="260"/>
      <c r="H137" s="260"/>
    </row>
    <row r="138" spans="4:8" ht="15.75" thickBot="1" x14ac:dyDescent="0.3">
      <c r="D138" s="19" t="s">
        <v>83</v>
      </c>
      <c r="E138" s="260"/>
      <c r="F138" s="13">
        <f>F135/E135-1</f>
        <v>0</v>
      </c>
      <c r="G138" s="13">
        <f t="shared" ref="G138:H138" si="6">G135/F135-1</f>
        <v>0</v>
      </c>
      <c r="H138" s="13">
        <f t="shared" si="6"/>
        <v>0</v>
      </c>
    </row>
    <row r="139" spans="4:8" x14ac:dyDescent="0.25">
      <c r="D139" s="350"/>
      <c r="E139" s="20">
        <v>2018</v>
      </c>
      <c r="F139" s="20">
        <v>2019</v>
      </c>
      <c r="G139" s="20">
        <v>2020</v>
      </c>
      <c r="H139" s="20">
        <v>2021</v>
      </c>
    </row>
    <row r="140" spans="4:8" ht="15.75" thickBot="1" x14ac:dyDescent="0.3">
      <c r="D140" s="351"/>
      <c r="E140" s="21" t="s">
        <v>42</v>
      </c>
      <c r="F140" s="21" t="s">
        <v>43</v>
      </c>
      <c r="G140" s="21" t="s">
        <v>43</v>
      </c>
      <c r="H140" s="21" t="s">
        <v>43</v>
      </c>
    </row>
    <row r="141" spans="4:8" ht="15.75" thickBot="1" x14ac:dyDescent="0.3">
      <c r="D141" s="392" t="s">
        <v>385</v>
      </c>
      <c r="E141" s="393"/>
      <c r="F141" s="393"/>
      <c r="G141" s="393"/>
      <c r="H141" s="394"/>
    </row>
    <row r="142" spans="4:8" x14ac:dyDescent="0.25">
      <c r="D142" s="350"/>
      <c r="E142" s="20">
        <v>2018</v>
      </c>
      <c r="F142" s="20">
        <v>2019</v>
      </c>
      <c r="G142" s="20">
        <v>2020</v>
      </c>
      <c r="H142" s="20">
        <v>2021</v>
      </c>
    </row>
    <row r="143" spans="4:8" ht="15.75" thickBot="1" x14ac:dyDescent="0.3">
      <c r="D143" s="351"/>
      <c r="E143" s="21" t="s">
        <v>42</v>
      </c>
      <c r="F143" s="21" t="s">
        <v>43</v>
      </c>
      <c r="G143" s="21" t="s">
        <v>43</v>
      </c>
      <c r="H143" s="21" t="s">
        <v>43</v>
      </c>
    </row>
    <row r="144" spans="4:8" ht="15.75" thickBot="1" x14ac:dyDescent="0.3">
      <c r="D144" s="141" t="s">
        <v>85</v>
      </c>
      <c r="E144" s="142">
        <v>1044</v>
      </c>
      <c r="F144" s="142">
        <v>1044</v>
      </c>
      <c r="G144" s="142">
        <v>1044</v>
      </c>
      <c r="H144" s="142">
        <v>1044</v>
      </c>
    </row>
    <row r="145" spans="4:8" ht="15.75" thickBot="1" x14ac:dyDescent="0.3">
      <c r="D145" s="141" t="s">
        <v>86</v>
      </c>
      <c r="E145" s="142">
        <v>174</v>
      </c>
      <c r="F145" s="142">
        <v>174</v>
      </c>
      <c r="G145" s="142">
        <v>174</v>
      </c>
      <c r="H145" s="142">
        <v>174</v>
      </c>
    </row>
    <row r="146" spans="4:8" ht="15.75" thickBot="1" x14ac:dyDescent="0.3">
      <c r="D146" s="141" t="s">
        <v>87</v>
      </c>
      <c r="E146" s="144">
        <v>340</v>
      </c>
      <c r="F146" s="144">
        <v>340</v>
      </c>
      <c r="G146" s="144">
        <v>340</v>
      </c>
      <c r="H146" s="144">
        <v>340</v>
      </c>
    </row>
    <row r="147" spans="4:8" ht="15.75" thickBot="1" x14ac:dyDescent="0.3">
      <c r="D147" s="141" t="s">
        <v>88</v>
      </c>
      <c r="E147" s="144"/>
      <c r="F147" s="142"/>
      <c r="G147" s="142"/>
      <c r="H147" s="142"/>
    </row>
    <row r="148" spans="4:8" ht="15.75" thickBot="1" x14ac:dyDescent="0.3">
      <c r="D148" s="141" t="s">
        <v>89</v>
      </c>
      <c r="E148" s="144"/>
      <c r="F148" s="142"/>
      <c r="G148" s="142"/>
      <c r="H148" s="142"/>
    </row>
    <row r="149" spans="4:8" ht="15.75" thickBot="1" x14ac:dyDescent="0.3">
      <c r="D149" s="141" t="s">
        <v>90</v>
      </c>
      <c r="E149" s="144"/>
      <c r="F149" s="142"/>
      <c r="G149" s="142"/>
      <c r="H149" s="142"/>
    </row>
    <row r="150" spans="4:8" ht="15.75" thickBot="1" x14ac:dyDescent="0.3">
      <c r="D150" s="141" t="s">
        <v>91</v>
      </c>
      <c r="E150" s="144"/>
      <c r="F150" s="142"/>
      <c r="G150" s="142"/>
      <c r="H150" s="142"/>
    </row>
    <row r="151" spans="4:8" ht="24.75" thickBot="1" x14ac:dyDescent="0.3">
      <c r="D151" s="269" t="s">
        <v>121</v>
      </c>
      <c r="E151" s="266">
        <f>E150+E149+E148+E147+E146+E145+E144</f>
        <v>1558</v>
      </c>
      <c r="F151" s="266">
        <f>F150+F149+F148+F147+F146+F145+F144</f>
        <v>1558</v>
      </c>
      <c r="G151" s="266">
        <f>G150+G149+G148+G147+G146+G145+G144</f>
        <v>1558</v>
      </c>
      <c r="H151" s="266">
        <f>H150+H149+H148+H147+H146+H145+H144</f>
        <v>1558</v>
      </c>
    </row>
    <row r="152" spans="4:8" ht="15.75" thickBot="1" x14ac:dyDescent="0.3">
      <c r="D152" s="267" t="s">
        <v>93</v>
      </c>
      <c r="E152" s="268">
        <f>IF(E151-E134=0,0,"Error")</f>
        <v>0</v>
      </c>
      <c r="F152" s="268">
        <f>IF(F151-F134=0,0,"Error")</f>
        <v>0</v>
      </c>
      <c r="G152" s="268">
        <f>IF(G151-G134=0,0,"Error")</f>
        <v>0</v>
      </c>
      <c r="H152" s="268">
        <f>IF(H151-H134=0,0,"Error")</f>
        <v>0</v>
      </c>
    </row>
    <row r="153" spans="4:8" x14ac:dyDescent="0.25">
      <c r="D153" s="137" t="s">
        <v>209</v>
      </c>
      <c r="E153" s="517" t="s">
        <v>386</v>
      </c>
      <c r="F153" s="518"/>
      <c r="G153" s="518"/>
      <c r="H153" s="519"/>
    </row>
    <row r="154" spans="4:8" x14ac:dyDescent="0.25">
      <c r="D154" s="520" t="s">
        <v>48</v>
      </c>
      <c r="E154" s="520"/>
      <c r="F154" s="520"/>
      <c r="G154" s="520"/>
      <c r="H154" s="520"/>
    </row>
    <row r="155" spans="4:8" ht="23.25" thickBot="1" x14ac:dyDescent="0.3">
      <c r="D155" s="46" t="s">
        <v>387</v>
      </c>
      <c r="E155" s="14">
        <v>1</v>
      </c>
      <c r="F155" s="14">
        <v>1</v>
      </c>
      <c r="G155" s="14">
        <v>1</v>
      </c>
      <c r="H155" s="14">
        <v>1</v>
      </c>
    </row>
    <row r="156" spans="4:8" ht="23.25" thickBot="1" x14ac:dyDescent="0.3">
      <c r="D156" s="46" t="s">
        <v>388</v>
      </c>
      <c r="E156" s="14">
        <v>1</v>
      </c>
      <c r="F156" s="14">
        <v>1</v>
      </c>
      <c r="G156" s="14">
        <v>1</v>
      </c>
      <c r="H156" s="14">
        <v>1</v>
      </c>
    </row>
    <row r="157" spans="4:8" ht="15.75" thickBot="1" x14ac:dyDescent="0.3">
      <c r="D157" s="46" t="s">
        <v>389</v>
      </c>
      <c r="E157" s="132">
        <v>30</v>
      </c>
      <c r="F157" s="132">
        <v>70</v>
      </c>
      <c r="G157" s="132">
        <v>80</v>
      </c>
      <c r="H157" s="138">
        <v>100</v>
      </c>
    </row>
    <row r="158" spans="4:8" ht="15.75" thickBot="1" x14ac:dyDescent="0.3">
      <c r="D158" s="425" t="s">
        <v>69</v>
      </c>
      <c r="E158" s="426"/>
      <c r="F158" s="426"/>
      <c r="G158" s="426"/>
      <c r="H158" s="427"/>
    </row>
    <row r="159" spans="4:8" ht="15.75" thickBot="1" x14ac:dyDescent="0.3">
      <c r="D159" s="428" t="s">
        <v>390</v>
      </c>
      <c r="E159" s="429"/>
      <c r="F159" s="429"/>
      <c r="G159" s="429"/>
      <c r="H159" s="430"/>
    </row>
    <row r="160" spans="4:8" ht="15.75" thickBot="1" x14ac:dyDescent="0.3">
      <c r="D160" s="139" t="s">
        <v>109</v>
      </c>
      <c r="E160" s="347" t="s">
        <v>391</v>
      </c>
      <c r="F160" s="348"/>
      <c r="G160" s="348"/>
      <c r="H160" s="349"/>
    </row>
    <row r="161" spans="4:8" ht="30.75" customHeight="1" thickBot="1" x14ac:dyDescent="0.3">
      <c r="D161" s="19" t="s">
        <v>73</v>
      </c>
      <c r="E161" s="335" t="s">
        <v>392</v>
      </c>
      <c r="F161" s="336"/>
      <c r="G161" s="336"/>
      <c r="H161" s="337"/>
    </row>
    <row r="162" spans="4:8" ht="15.75" thickBot="1" x14ac:dyDescent="0.3">
      <c r="D162" s="19" t="s">
        <v>75</v>
      </c>
      <c r="E162" s="347" t="s">
        <v>393</v>
      </c>
      <c r="F162" s="348"/>
      <c r="G162" s="348"/>
      <c r="H162" s="349"/>
    </row>
    <row r="163" spans="4:8" x14ac:dyDescent="0.25">
      <c r="D163" s="350"/>
      <c r="E163" s="20">
        <v>2018</v>
      </c>
      <c r="F163" s="20">
        <v>2019</v>
      </c>
      <c r="G163" s="20">
        <v>2020</v>
      </c>
      <c r="H163" s="20">
        <v>2021</v>
      </c>
    </row>
    <row r="164" spans="4:8" ht="15.75" thickBot="1" x14ac:dyDescent="0.3">
      <c r="D164" s="351"/>
      <c r="E164" s="21" t="s">
        <v>42</v>
      </c>
      <c r="F164" s="21" t="s">
        <v>43</v>
      </c>
      <c r="G164" s="21" t="s">
        <v>43</v>
      </c>
      <c r="H164" s="21" t="s">
        <v>43</v>
      </c>
    </row>
    <row r="165" spans="4:8" ht="15.75" thickBot="1" x14ac:dyDescent="0.3">
      <c r="D165" s="19" t="s">
        <v>77</v>
      </c>
      <c r="E165" s="22">
        <v>1</v>
      </c>
      <c r="F165" s="22">
        <v>3</v>
      </c>
      <c r="G165" s="22">
        <v>4</v>
      </c>
      <c r="H165" s="22">
        <v>4</v>
      </c>
    </row>
    <row r="166" spans="4:8" ht="15.75" thickBot="1" x14ac:dyDescent="0.3">
      <c r="D166" s="19" t="s">
        <v>78</v>
      </c>
      <c r="E166" s="22">
        <v>24800</v>
      </c>
      <c r="F166" s="22">
        <v>30966</v>
      </c>
      <c r="G166" s="22">
        <v>30966</v>
      </c>
      <c r="H166" s="22">
        <v>30966</v>
      </c>
    </row>
    <row r="167" spans="4:8" ht="15.75" thickBot="1" x14ac:dyDescent="0.3">
      <c r="D167" s="19" t="s">
        <v>79</v>
      </c>
      <c r="E167" s="22">
        <f>E166/E165</f>
        <v>24800</v>
      </c>
      <c r="F167" s="140">
        <f>F166/F165</f>
        <v>10322</v>
      </c>
      <c r="G167" s="22">
        <f t="shared" ref="G167:H167" si="7">G166/G165</f>
        <v>7741.5</v>
      </c>
      <c r="H167" s="22">
        <f t="shared" si="7"/>
        <v>7741.5</v>
      </c>
    </row>
    <row r="168" spans="4:8" ht="15.75" thickBot="1" x14ac:dyDescent="0.3">
      <c r="D168" s="19" t="s">
        <v>80</v>
      </c>
      <c r="E168" s="23" t="s">
        <v>81</v>
      </c>
      <c r="F168" s="13">
        <f t="shared" ref="F168:H170" si="8">F165/E165-1</f>
        <v>2</v>
      </c>
      <c r="G168" s="13">
        <f t="shared" si="8"/>
        <v>0.33333333333333326</v>
      </c>
      <c r="H168" s="13">
        <f t="shared" si="8"/>
        <v>0</v>
      </c>
    </row>
    <row r="169" spans="4:8" ht="15.75" thickBot="1" x14ac:dyDescent="0.3">
      <c r="D169" s="19" t="s">
        <v>82</v>
      </c>
      <c r="E169" s="23" t="s">
        <v>81</v>
      </c>
      <c r="F169" s="13">
        <f t="shared" si="8"/>
        <v>0.24862903225806443</v>
      </c>
      <c r="G169" s="13">
        <f t="shared" si="8"/>
        <v>0</v>
      </c>
      <c r="H169" s="13">
        <f t="shared" si="8"/>
        <v>0</v>
      </c>
    </row>
    <row r="170" spans="4:8" ht="15.75" thickBot="1" x14ac:dyDescent="0.3">
      <c r="D170" s="19" t="s">
        <v>83</v>
      </c>
      <c r="E170" s="23" t="s">
        <v>81</v>
      </c>
      <c r="F170" s="13">
        <f t="shared" si="8"/>
        <v>-0.58379032258064512</v>
      </c>
      <c r="G170" s="13">
        <f t="shared" si="8"/>
        <v>-0.25</v>
      </c>
      <c r="H170" s="13">
        <f t="shared" si="8"/>
        <v>0</v>
      </c>
    </row>
    <row r="171" spans="4:8" ht="15.75" thickBot="1" x14ac:dyDescent="0.3">
      <c r="D171" s="392" t="s">
        <v>84</v>
      </c>
      <c r="E171" s="393"/>
      <c r="F171" s="393"/>
      <c r="G171" s="393"/>
      <c r="H171" s="394"/>
    </row>
    <row r="172" spans="4:8" x14ac:dyDescent="0.25">
      <c r="D172" s="350"/>
      <c r="E172" s="20">
        <v>2018</v>
      </c>
      <c r="F172" s="20">
        <v>2019</v>
      </c>
      <c r="G172" s="20">
        <v>2020</v>
      </c>
      <c r="H172" s="20">
        <v>2021</v>
      </c>
    </row>
    <row r="173" spans="4:8" ht="15.75" thickBot="1" x14ac:dyDescent="0.3">
      <c r="D173" s="351"/>
      <c r="E173" s="21" t="s">
        <v>42</v>
      </c>
      <c r="F173" s="21" t="s">
        <v>43</v>
      </c>
      <c r="G173" s="21" t="s">
        <v>43</v>
      </c>
      <c r="H173" s="21" t="s">
        <v>43</v>
      </c>
    </row>
    <row r="174" spans="4:8" ht="15.75" thickBot="1" x14ac:dyDescent="0.3">
      <c r="D174" s="141" t="s">
        <v>85</v>
      </c>
      <c r="E174" s="142">
        <v>12800</v>
      </c>
      <c r="F174" s="142">
        <v>16716</v>
      </c>
      <c r="G174" s="142">
        <v>16716</v>
      </c>
      <c r="H174" s="142">
        <v>16716</v>
      </c>
    </row>
    <row r="175" spans="4:8" ht="24.75" thickBot="1" x14ac:dyDescent="0.3">
      <c r="D175" s="143" t="s">
        <v>394</v>
      </c>
      <c r="E175" s="144"/>
      <c r="F175" s="145"/>
      <c r="G175" s="145"/>
      <c r="H175" s="145"/>
    </row>
    <row r="176" spans="4:8" ht="24.75" thickBot="1" x14ac:dyDescent="0.3">
      <c r="D176" s="143" t="s">
        <v>395</v>
      </c>
      <c r="E176" s="144"/>
      <c r="F176" s="146"/>
      <c r="G176" s="146"/>
      <c r="H176" s="146"/>
    </row>
    <row r="177" spans="4:8" ht="15.75" thickBot="1" x14ac:dyDescent="0.3">
      <c r="D177" s="141" t="s">
        <v>86</v>
      </c>
      <c r="E177" s="142">
        <v>2500</v>
      </c>
      <c r="F177" s="142">
        <v>3250</v>
      </c>
      <c r="G177" s="142">
        <v>3250</v>
      </c>
      <c r="H177" s="142">
        <v>3250</v>
      </c>
    </row>
    <row r="178" spans="4:8" ht="36.75" thickBot="1" x14ac:dyDescent="0.3">
      <c r="D178" s="143" t="s">
        <v>396</v>
      </c>
      <c r="E178" s="144"/>
      <c r="F178" s="142"/>
      <c r="G178" s="142"/>
      <c r="H178" s="142"/>
    </row>
    <row r="179" spans="4:8" ht="36.75" thickBot="1" x14ac:dyDescent="0.3">
      <c r="D179" s="143" t="s">
        <v>397</v>
      </c>
      <c r="E179" s="144"/>
      <c r="F179" s="142"/>
      <c r="G179" s="142"/>
      <c r="H179" s="142"/>
    </row>
    <row r="180" spans="4:8" ht="15.75" thickBot="1" x14ac:dyDescent="0.3">
      <c r="D180" s="141" t="s">
        <v>87</v>
      </c>
      <c r="E180" s="144">
        <v>9500</v>
      </c>
      <c r="F180" s="142">
        <v>11000</v>
      </c>
      <c r="G180" s="142">
        <v>11000</v>
      </c>
      <c r="H180" s="142">
        <v>11000</v>
      </c>
    </row>
    <row r="181" spans="4:8" ht="24.75" thickBot="1" x14ac:dyDescent="0.3">
      <c r="D181" s="143" t="s">
        <v>398</v>
      </c>
      <c r="E181" s="144"/>
      <c r="F181" s="142"/>
      <c r="G181" s="142"/>
      <c r="H181" s="142"/>
    </row>
    <row r="182" spans="4:8" ht="24.75" thickBot="1" x14ac:dyDescent="0.3">
      <c r="D182" s="143" t="s">
        <v>399</v>
      </c>
      <c r="E182" s="144"/>
      <c r="F182" s="142"/>
      <c r="G182" s="142"/>
      <c r="H182" s="142"/>
    </row>
    <row r="183" spans="4:8" ht="15.75" thickBot="1" x14ac:dyDescent="0.3">
      <c r="D183" s="141" t="s">
        <v>88</v>
      </c>
      <c r="E183" s="144"/>
      <c r="F183" s="142"/>
      <c r="G183" s="142"/>
      <c r="H183" s="142"/>
    </row>
    <row r="184" spans="4:8" ht="24.75" thickBot="1" x14ac:dyDescent="0.3">
      <c r="D184" s="143" t="s">
        <v>400</v>
      </c>
      <c r="E184" s="144"/>
      <c r="F184" s="142"/>
      <c r="G184" s="142"/>
      <c r="H184" s="142"/>
    </row>
    <row r="185" spans="4:8" ht="24.75" thickBot="1" x14ac:dyDescent="0.3">
      <c r="D185" s="143" t="s">
        <v>401</v>
      </c>
      <c r="E185" s="144"/>
      <c r="F185" s="142"/>
      <c r="G185" s="142"/>
      <c r="H185" s="142"/>
    </row>
    <row r="186" spans="4:8" ht="15.75" thickBot="1" x14ac:dyDescent="0.3">
      <c r="D186" s="141" t="s">
        <v>89</v>
      </c>
      <c r="E186" s="144"/>
      <c r="F186" s="142"/>
      <c r="G186" s="142"/>
      <c r="H186" s="142"/>
    </row>
    <row r="187" spans="4:8" ht="24.75" thickBot="1" x14ac:dyDescent="0.3">
      <c r="D187" s="143" t="s">
        <v>402</v>
      </c>
      <c r="E187" s="144"/>
      <c r="F187" s="142"/>
      <c r="G187" s="142"/>
      <c r="H187" s="142"/>
    </row>
    <row r="188" spans="4:8" ht="24.75" thickBot="1" x14ac:dyDescent="0.3">
      <c r="D188" s="143" t="s">
        <v>403</v>
      </c>
      <c r="E188" s="144"/>
      <c r="F188" s="142"/>
      <c r="G188" s="142"/>
      <c r="H188" s="142"/>
    </row>
    <row r="189" spans="4:8" ht="15.75" thickBot="1" x14ac:dyDescent="0.3">
      <c r="D189" s="141" t="s">
        <v>90</v>
      </c>
      <c r="E189" s="144"/>
      <c r="F189" s="142"/>
      <c r="G189" s="142"/>
      <c r="H189" s="142"/>
    </row>
    <row r="190" spans="4:8" ht="24.75" thickBot="1" x14ac:dyDescent="0.3">
      <c r="D190" s="143" t="s">
        <v>404</v>
      </c>
      <c r="E190" s="144"/>
      <c r="F190" s="142"/>
      <c r="G190" s="142"/>
      <c r="H190" s="142"/>
    </row>
    <row r="191" spans="4:8" ht="24.75" thickBot="1" x14ac:dyDescent="0.3">
      <c r="D191" s="143" t="s">
        <v>405</v>
      </c>
      <c r="E191" s="144"/>
      <c r="F191" s="142"/>
      <c r="G191" s="142"/>
      <c r="H191" s="142"/>
    </row>
    <row r="192" spans="4:8" ht="15.75" thickBot="1" x14ac:dyDescent="0.3">
      <c r="D192" s="141" t="s">
        <v>91</v>
      </c>
      <c r="E192" s="144"/>
      <c r="F192" s="142"/>
      <c r="G192" s="142"/>
      <c r="H192" s="142"/>
    </row>
    <row r="193" spans="4:8" ht="24.75" thickBot="1" x14ac:dyDescent="0.3">
      <c r="D193" s="143" t="s">
        <v>406</v>
      </c>
      <c r="E193" s="144"/>
      <c r="F193" s="142"/>
      <c r="G193" s="142"/>
      <c r="H193" s="142"/>
    </row>
    <row r="194" spans="4:8" ht="36.75" thickBot="1" x14ac:dyDescent="0.3">
      <c r="D194" s="143" t="s">
        <v>407</v>
      </c>
      <c r="E194" s="144"/>
      <c r="F194" s="142"/>
      <c r="G194" s="142"/>
      <c r="H194" s="142"/>
    </row>
    <row r="195" spans="4:8" ht="15.75" thickBot="1" x14ac:dyDescent="0.3">
      <c r="D195" s="269" t="s">
        <v>92</v>
      </c>
      <c r="E195" s="266">
        <f>E192+E189+E186+E183+E180+E177+E174</f>
        <v>24800</v>
      </c>
      <c r="F195" s="266">
        <f>F192+F189+F186+F183+F180+F177+F174</f>
        <v>30966</v>
      </c>
      <c r="G195" s="266">
        <f t="shared" ref="G195:H195" si="9">G192+G189+G186+G183+G180+G177+G174</f>
        <v>30966</v>
      </c>
      <c r="H195" s="266">
        <f t="shared" si="9"/>
        <v>30966</v>
      </c>
    </row>
    <row r="196" spans="4:8" x14ac:dyDescent="0.25">
      <c r="D196" s="355" t="s">
        <v>408</v>
      </c>
      <c r="E196" s="358"/>
      <c r="F196" s="359"/>
      <c r="G196" s="359"/>
      <c r="H196" s="360"/>
    </row>
    <row r="197" spans="4:8" ht="21.75" customHeight="1" thickBot="1" x14ac:dyDescent="0.3">
      <c r="D197" s="356"/>
      <c r="E197" s="361"/>
      <c r="F197" s="362"/>
      <c r="G197" s="362"/>
      <c r="H197" s="363"/>
    </row>
    <row r="198" spans="4:8" ht="15.75" hidden="1" thickBot="1" x14ac:dyDescent="0.3">
      <c r="D198" s="357"/>
      <c r="E198" s="364"/>
      <c r="F198" s="365"/>
      <c r="G198" s="365"/>
      <c r="H198" s="366"/>
    </row>
    <row r="199" spans="4:8" ht="23.25" customHeight="1" thickBot="1" x14ac:dyDescent="0.3">
      <c r="D199" s="270" t="s">
        <v>93</v>
      </c>
      <c r="E199" s="271">
        <f>IF(E195-E166=0,0,"Error")</f>
        <v>0</v>
      </c>
      <c r="F199" s="271">
        <f>IF(F195-F166=0,0,"Error")</f>
        <v>0</v>
      </c>
      <c r="G199" s="271">
        <f>IF(G195-G166=0,0,"Error")</f>
        <v>0</v>
      </c>
      <c r="H199" s="271">
        <f>IF(H195-H166=0,0,"Error")</f>
        <v>0</v>
      </c>
    </row>
    <row r="200" spans="4:8" ht="31.5" customHeight="1" thickBot="1" x14ac:dyDescent="0.3">
      <c r="D200" s="147" t="s">
        <v>640</v>
      </c>
      <c r="E200" s="484" t="s">
        <v>409</v>
      </c>
      <c r="F200" s="485"/>
      <c r="G200" s="485"/>
      <c r="H200" s="486"/>
    </row>
    <row r="201" spans="4:8" ht="15.75" thickBot="1" x14ac:dyDescent="0.3">
      <c r="D201" s="487" t="s">
        <v>184</v>
      </c>
      <c r="E201" s="488"/>
      <c r="F201" s="488"/>
      <c r="G201" s="488"/>
      <c r="H201" s="489"/>
    </row>
    <row r="202" spans="4:8" ht="22.5" x14ac:dyDescent="0.25">
      <c r="D202" s="148" t="s">
        <v>410</v>
      </c>
      <c r="E202" s="149">
        <v>22</v>
      </c>
      <c r="F202" s="149">
        <v>25</v>
      </c>
      <c r="G202" s="149">
        <v>25</v>
      </c>
      <c r="H202" s="149">
        <v>25</v>
      </c>
    </row>
    <row r="203" spans="4:8" x14ac:dyDescent="0.25">
      <c r="D203" s="150" t="s">
        <v>411</v>
      </c>
      <c r="E203" s="151">
        <v>120</v>
      </c>
      <c r="F203" s="151">
        <v>130</v>
      </c>
      <c r="G203" s="151">
        <v>130</v>
      </c>
      <c r="H203" s="151">
        <v>130</v>
      </c>
    </row>
    <row r="204" spans="4:8" x14ac:dyDescent="0.25">
      <c r="D204" s="152" t="s">
        <v>412</v>
      </c>
      <c r="E204" s="151">
        <v>85</v>
      </c>
      <c r="F204" s="151">
        <v>85</v>
      </c>
      <c r="G204" s="151">
        <v>85</v>
      </c>
      <c r="H204" s="151">
        <v>85</v>
      </c>
    </row>
    <row r="205" spans="4:8" x14ac:dyDescent="0.25">
      <c r="D205" s="152" t="s">
        <v>413</v>
      </c>
      <c r="E205" s="153">
        <v>1</v>
      </c>
      <c r="F205" s="153">
        <v>1</v>
      </c>
      <c r="G205" s="153">
        <v>1</v>
      </c>
      <c r="H205" s="153">
        <v>1</v>
      </c>
    </row>
    <row r="206" spans="4:8" ht="23.25" thickBot="1" x14ac:dyDescent="0.3">
      <c r="D206" s="154" t="s">
        <v>414</v>
      </c>
      <c r="E206" s="155">
        <v>100</v>
      </c>
      <c r="F206" s="155">
        <v>130</v>
      </c>
      <c r="G206" s="155">
        <v>150</v>
      </c>
      <c r="H206" s="155">
        <v>200</v>
      </c>
    </row>
    <row r="207" spans="4:8" ht="15.75" thickBot="1" x14ac:dyDescent="0.3">
      <c r="D207" s="493" t="s">
        <v>197</v>
      </c>
      <c r="E207" s="494"/>
      <c r="F207" s="494"/>
      <c r="G207" s="494"/>
      <c r="H207" s="495"/>
    </row>
    <row r="208" spans="4:8" ht="15.75" thickBot="1" x14ac:dyDescent="0.3">
      <c r="D208" s="490" t="s">
        <v>115</v>
      </c>
      <c r="E208" s="491"/>
      <c r="F208" s="491"/>
      <c r="G208" s="491"/>
      <c r="H208" s="492"/>
    </row>
    <row r="209" spans="4:8" x14ac:dyDescent="0.25">
      <c r="D209" s="479"/>
      <c r="E209" s="156">
        <v>2018</v>
      </c>
      <c r="F209" s="156">
        <v>2019</v>
      </c>
      <c r="G209" s="156">
        <v>2020</v>
      </c>
      <c r="H209" s="156">
        <v>2021</v>
      </c>
    </row>
    <row r="210" spans="4:8" ht="15.75" thickBot="1" x14ac:dyDescent="0.3">
      <c r="D210" s="480"/>
      <c r="E210" s="157" t="s">
        <v>42</v>
      </c>
      <c r="F210" s="157" t="s">
        <v>43</v>
      </c>
      <c r="G210" s="157" t="s">
        <v>43</v>
      </c>
      <c r="H210" s="157" t="s">
        <v>43</v>
      </c>
    </row>
    <row r="211" spans="4:8" ht="15.75" thickBot="1" x14ac:dyDescent="0.3">
      <c r="D211" s="158" t="s">
        <v>109</v>
      </c>
      <c r="E211" s="487" t="s">
        <v>415</v>
      </c>
      <c r="F211" s="488"/>
      <c r="G211" s="488"/>
      <c r="H211" s="489"/>
    </row>
    <row r="212" spans="4:8" ht="45" customHeight="1" thickBot="1" x14ac:dyDescent="0.3">
      <c r="D212" s="50" t="s">
        <v>73</v>
      </c>
      <c r="E212" s="499" t="s">
        <v>416</v>
      </c>
      <c r="F212" s="500"/>
      <c r="G212" s="500"/>
      <c r="H212" s="501"/>
    </row>
    <row r="213" spans="4:8" ht="15.75" thickBot="1" x14ac:dyDescent="0.3">
      <c r="D213" s="50" t="s">
        <v>75</v>
      </c>
      <c r="E213" s="502" t="s">
        <v>393</v>
      </c>
      <c r="F213" s="503"/>
      <c r="G213" s="503"/>
      <c r="H213" s="504"/>
    </row>
    <row r="214" spans="4:8" x14ac:dyDescent="0.25">
      <c r="D214" s="479"/>
      <c r="E214" s="156">
        <v>2018</v>
      </c>
      <c r="F214" s="156">
        <v>2019</v>
      </c>
      <c r="G214" s="156">
        <v>2020</v>
      </c>
      <c r="H214" s="156">
        <v>2021</v>
      </c>
    </row>
    <row r="215" spans="4:8" ht="15.75" thickBot="1" x14ac:dyDescent="0.3">
      <c r="D215" s="480"/>
      <c r="E215" s="157" t="s">
        <v>42</v>
      </c>
      <c r="F215" s="157" t="s">
        <v>43</v>
      </c>
      <c r="G215" s="157" t="s">
        <v>43</v>
      </c>
      <c r="H215" s="157" t="s">
        <v>43</v>
      </c>
    </row>
    <row r="216" spans="4:8" ht="15.75" thickBot="1" x14ac:dyDescent="0.3">
      <c r="D216" s="50" t="s">
        <v>77</v>
      </c>
      <c r="E216" s="140">
        <v>22</v>
      </c>
      <c r="F216" s="159">
        <v>25</v>
      </c>
      <c r="G216" s="159">
        <v>25</v>
      </c>
      <c r="H216" s="159">
        <v>25</v>
      </c>
    </row>
    <row r="217" spans="4:8" ht="15.75" thickBot="1" x14ac:dyDescent="0.3">
      <c r="D217" s="50" t="s">
        <v>78</v>
      </c>
      <c r="E217" s="140">
        <v>24800</v>
      </c>
      <c r="F217" s="22">
        <v>30966</v>
      </c>
      <c r="G217" s="22">
        <v>30966</v>
      </c>
      <c r="H217" s="22">
        <v>30966</v>
      </c>
    </row>
    <row r="218" spans="4:8" ht="15.75" thickBot="1" x14ac:dyDescent="0.3">
      <c r="D218" s="50" t="s">
        <v>79</v>
      </c>
      <c r="E218" s="140">
        <f>E217/E216</f>
        <v>1127.2727272727273</v>
      </c>
      <c r="F218" s="140">
        <f t="shared" ref="F218:G218" si="10">F217/F216</f>
        <v>1238.6400000000001</v>
      </c>
      <c r="G218" s="140">
        <f t="shared" si="10"/>
        <v>1238.6400000000001</v>
      </c>
      <c r="H218" s="140">
        <f>H217/H216</f>
        <v>1238.6400000000001</v>
      </c>
    </row>
    <row r="219" spans="4:8" ht="15.75" thickBot="1" x14ac:dyDescent="0.3">
      <c r="D219" s="50" t="s">
        <v>80</v>
      </c>
      <c r="E219" s="160"/>
      <c r="F219" s="161">
        <f>F216/E216-1</f>
        <v>0.13636363636363646</v>
      </c>
      <c r="G219" s="161">
        <f t="shared" ref="G219:H221" si="11">G216/F216-1</f>
        <v>0</v>
      </c>
      <c r="H219" s="161">
        <f t="shared" si="11"/>
        <v>0</v>
      </c>
    </row>
    <row r="220" spans="4:8" ht="15.75" thickBot="1" x14ac:dyDescent="0.3">
      <c r="D220" s="50" t="s">
        <v>82</v>
      </c>
      <c r="E220" s="160"/>
      <c r="F220" s="161">
        <f>F217/E217-1</f>
        <v>0.24862903225806443</v>
      </c>
      <c r="G220" s="161">
        <f t="shared" si="11"/>
        <v>0</v>
      </c>
      <c r="H220" s="161">
        <f>H217/G217-1</f>
        <v>0</v>
      </c>
    </row>
    <row r="221" spans="4:8" ht="15.75" thickBot="1" x14ac:dyDescent="0.3">
      <c r="D221" s="50" t="s">
        <v>83</v>
      </c>
      <c r="E221" s="160"/>
      <c r="F221" s="161">
        <f>F218/E218-1</f>
        <v>9.8793548387096974E-2</v>
      </c>
      <c r="G221" s="161">
        <f t="shared" si="11"/>
        <v>0</v>
      </c>
      <c r="H221" s="161">
        <f>H218/G218-1</f>
        <v>0</v>
      </c>
    </row>
    <row r="222" spans="4:8" x14ac:dyDescent="0.25">
      <c r="D222" s="479"/>
      <c r="E222" s="156">
        <v>2018</v>
      </c>
      <c r="F222" s="156">
        <v>2019</v>
      </c>
      <c r="G222" s="156">
        <v>2020</v>
      </c>
      <c r="H222" s="156">
        <v>2021</v>
      </c>
    </row>
    <row r="223" spans="4:8" ht="15.75" thickBot="1" x14ac:dyDescent="0.3">
      <c r="D223" s="480"/>
      <c r="E223" s="157" t="s">
        <v>42</v>
      </c>
      <c r="F223" s="157" t="s">
        <v>43</v>
      </c>
      <c r="G223" s="157" t="s">
        <v>43</v>
      </c>
      <c r="H223" s="157" t="s">
        <v>43</v>
      </c>
    </row>
    <row r="224" spans="4:8" ht="15.75" thickBot="1" x14ac:dyDescent="0.3">
      <c r="D224" s="493" t="s">
        <v>385</v>
      </c>
      <c r="E224" s="494"/>
      <c r="F224" s="494"/>
      <c r="G224" s="494"/>
      <c r="H224" s="495"/>
    </row>
    <row r="225" spans="4:8" x14ac:dyDescent="0.25">
      <c r="D225" s="479"/>
      <c r="E225" s="156">
        <v>2018</v>
      </c>
      <c r="F225" s="156">
        <v>2019</v>
      </c>
      <c r="G225" s="156">
        <v>2020</v>
      </c>
      <c r="H225" s="156">
        <v>2021</v>
      </c>
    </row>
    <row r="226" spans="4:8" ht="15.75" thickBot="1" x14ac:dyDescent="0.3">
      <c r="D226" s="480"/>
      <c r="E226" s="157" t="s">
        <v>42</v>
      </c>
      <c r="F226" s="157" t="s">
        <v>43</v>
      </c>
      <c r="G226" s="157" t="s">
        <v>43</v>
      </c>
      <c r="H226" s="157" t="s">
        <v>43</v>
      </c>
    </row>
    <row r="227" spans="4:8" ht="15.75" thickBot="1" x14ac:dyDescent="0.3">
      <c r="D227" s="162" t="s">
        <v>85</v>
      </c>
      <c r="E227" s="159">
        <v>12800</v>
      </c>
      <c r="F227" s="159">
        <v>16716</v>
      </c>
      <c r="G227" s="159">
        <v>16716</v>
      </c>
      <c r="H227" s="159">
        <v>16716</v>
      </c>
    </row>
    <row r="228" spans="4:8" ht="24.75" thickBot="1" x14ac:dyDescent="0.3">
      <c r="D228" s="163" t="s">
        <v>394</v>
      </c>
      <c r="E228" s="164"/>
      <c r="F228" s="165"/>
      <c r="G228" s="165"/>
      <c r="H228" s="165"/>
    </row>
    <row r="229" spans="4:8" ht="24.75" thickBot="1" x14ac:dyDescent="0.3">
      <c r="D229" s="163" t="s">
        <v>417</v>
      </c>
      <c r="E229" s="164"/>
      <c r="F229" s="165"/>
      <c r="G229" s="165"/>
      <c r="H229" s="165"/>
    </row>
    <row r="230" spans="4:8" ht="15.75" thickBot="1" x14ac:dyDescent="0.3">
      <c r="D230" s="162" t="s">
        <v>86</v>
      </c>
      <c r="E230" s="159">
        <v>2500</v>
      </c>
      <c r="F230" s="159">
        <v>3250</v>
      </c>
      <c r="G230" s="159">
        <v>3250</v>
      </c>
      <c r="H230" s="159">
        <v>3250</v>
      </c>
    </row>
    <row r="231" spans="4:8" ht="36.75" thickBot="1" x14ac:dyDescent="0.3">
      <c r="D231" s="163" t="s">
        <v>396</v>
      </c>
      <c r="E231" s="164"/>
      <c r="F231" s="159"/>
      <c r="G231" s="159"/>
      <c r="H231" s="159"/>
    </row>
    <row r="232" spans="4:8" ht="36.75" thickBot="1" x14ac:dyDescent="0.3">
      <c r="D232" s="163" t="s">
        <v>418</v>
      </c>
      <c r="E232" s="164"/>
      <c r="F232" s="159"/>
      <c r="G232" s="159"/>
      <c r="H232" s="159"/>
    </row>
    <row r="233" spans="4:8" ht="15.75" thickBot="1" x14ac:dyDescent="0.3">
      <c r="D233" s="162" t="s">
        <v>87</v>
      </c>
      <c r="E233" s="164">
        <v>9500</v>
      </c>
      <c r="F233" s="164">
        <v>11000</v>
      </c>
      <c r="G233" s="164">
        <v>11000</v>
      </c>
      <c r="H233" s="164">
        <v>11000</v>
      </c>
    </row>
    <row r="234" spans="4:8" ht="24.75" thickBot="1" x14ac:dyDescent="0.3">
      <c r="D234" s="163" t="s">
        <v>398</v>
      </c>
      <c r="E234" s="164"/>
      <c r="F234" s="159"/>
      <c r="G234" s="159"/>
      <c r="H234" s="159"/>
    </row>
    <row r="235" spans="4:8" ht="24.75" thickBot="1" x14ac:dyDescent="0.3">
      <c r="D235" s="163" t="s">
        <v>419</v>
      </c>
      <c r="E235" s="164"/>
      <c r="F235" s="159"/>
      <c r="G235" s="159"/>
      <c r="H235" s="159"/>
    </row>
    <row r="236" spans="4:8" ht="15.75" thickBot="1" x14ac:dyDescent="0.3">
      <c r="D236" s="162" t="s">
        <v>88</v>
      </c>
      <c r="E236" s="164"/>
      <c r="F236" s="159"/>
      <c r="G236" s="159"/>
      <c r="H236" s="159"/>
    </row>
    <row r="237" spans="4:8" ht="24.75" thickBot="1" x14ac:dyDescent="0.3">
      <c r="D237" s="163" t="s">
        <v>400</v>
      </c>
      <c r="E237" s="164"/>
      <c r="F237" s="159"/>
      <c r="G237" s="159"/>
      <c r="H237" s="159"/>
    </row>
    <row r="238" spans="4:8" ht="24.75" thickBot="1" x14ac:dyDescent="0.3">
      <c r="D238" s="163" t="s">
        <v>420</v>
      </c>
      <c r="E238" s="164"/>
      <c r="F238" s="159"/>
      <c r="G238" s="159"/>
      <c r="H238" s="159"/>
    </row>
    <row r="239" spans="4:8" ht="15.75" thickBot="1" x14ac:dyDescent="0.3">
      <c r="D239" s="162" t="s">
        <v>89</v>
      </c>
      <c r="E239" s="164"/>
      <c r="F239" s="159"/>
      <c r="G239" s="159"/>
      <c r="H239" s="159"/>
    </row>
    <row r="240" spans="4:8" ht="24.75" thickBot="1" x14ac:dyDescent="0.3">
      <c r="D240" s="163" t="s">
        <v>402</v>
      </c>
      <c r="E240" s="164"/>
      <c r="F240" s="159"/>
      <c r="G240" s="159"/>
      <c r="H240" s="159"/>
    </row>
    <row r="241" spans="4:8" ht="24.75" thickBot="1" x14ac:dyDescent="0.3">
      <c r="D241" s="163" t="s">
        <v>421</v>
      </c>
      <c r="E241" s="164"/>
      <c r="F241" s="159"/>
      <c r="G241" s="159"/>
      <c r="H241" s="159"/>
    </row>
    <row r="242" spans="4:8" ht="15.75" thickBot="1" x14ac:dyDescent="0.3">
      <c r="D242" s="162" t="s">
        <v>90</v>
      </c>
      <c r="E242" s="164"/>
      <c r="F242" s="159"/>
      <c r="G242" s="159"/>
      <c r="H242" s="159"/>
    </row>
    <row r="243" spans="4:8" ht="24.75" thickBot="1" x14ac:dyDescent="0.3">
      <c r="D243" s="163" t="s">
        <v>404</v>
      </c>
      <c r="E243" s="164"/>
      <c r="F243" s="159"/>
      <c r="G243" s="159"/>
      <c r="H243" s="159"/>
    </row>
    <row r="244" spans="4:8" ht="24.75" thickBot="1" x14ac:dyDescent="0.3">
      <c r="D244" s="163" t="s">
        <v>422</v>
      </c>
      <c r="E244" s="164"/>
      <c r="F244" s="159"/>
      <c r="G244" s="159"/>
      <c r="H244" s="159"/>
    </row>
    <row r="245" spans="4:8" ht="15.75" thickBot="1" x14ac:dyDescent="0.3">
      <c r="D245" s="162" t="s">
        <v>91</v>
      </c>
      <c r="E245" s="164"/>
      <c r="F245" s="159"/>
      <c r="G245" s="159"/>
      <c r="H245" s="159"/>
    </row>
    <row r="246" spans="4:8" ht="24.75" thickBot="1" x14ac:dyDescent="0.3">
      <c r="D246" s="163" t="s">
        <v>406</v>
      </c>
      <c r="E246" s="164"/>
      <c r="F246" s="159"/>
      <c r="G246" s="159"/>
      <c r="H246" s="159"/>
    </row>
    <row r="247" spans="4:8" ht="24.75" thickBot="1" x14ac:dyDescent="0.3">
      <c r="D247" s="163" t="s">
        <v>423</v>
      </c>
      <c r="E247" s="164"/>
      <c r="F247" s="159"/>
      <c r="G247" s="159"/>
      <c r="H247" s="159"/>
    </row>
    <row r="248" spans="4:8" ht="24.75" thickBot="1" x14ac:dyDescent="0.3">
      <c r="D248" s="269" t="s">
        <v>121</v>
      </c>
      <c r="E248" s="266">
        <f>E245+E242+E239+E236+E233+E230+E227</f>
        <v>24800</v>
      </c>
      <c r="F248" s="266">
        <f>F245+F242+F239+F236+F233+F230+F227</f>
        <v>30966</v>
      </c>
      <c r="G248" s="266">
        <f>G245+G242+G239+G236+G233+G230+G227</f>
        <v>30966</v>
      </c>
      <c r="H248" s="266">
        <f>H245+H242+H239+H236+H233+H230+H227</f>
        <v>30966</v>
      </c>
    </row>
    <row r="249" spans="4:8" x14ac:dyDescent="0.25">
      <c r="D249" s="513" t="s">
        <v>230</v>
      </c>
      <c r="E249" s="515" t="s">
        <v>81</v>
      </c>
      <c r="F249" s="515"/>
      <c r="G249" s="515"/>
      <c r="H249" s="516"/>
    </row>
    <row r="250" spans="4:8" ht="11.25" customHeight="1" x14ac:dyDescent="0.25">
      <c r="D250" s="505"/>
      <c r="E250" s="508"/>
      <c r="F250" s="508"/>
      <c r="G250" s="508"/>
      <c r="H250" s="509"/>
    </row>
    <row r="251" spans="4:8" ht="15.75" hidden="1" thickBot="1" x14ac:dyDescent="0.3">
      <c r="D251" s="506"/>
      <c r="E251" s="511"/>
      <c r="F251" s="511"/>
      <c r="G251" s="511"/>
      <c r="H251" s="512"/>
    </row>
    <row r="252" spans="4:8" ht="15.75" thickBot="1" x14ac:dyDescent="0.3">
      <c r="D252" s="269" t="s">
        <v>93</v>
      </c>
      <c r="E252" s="266">
        <f>IF(E248-E217=0,0,"Error")</f>
        <v>0</v>
      </c>
      <c r="F252" s="266">
        <f>IF(F248-F217=0,0,"Error")</f>
        <v>0</v>
      </c>
      <c r="G252" s="266">
        <f>IF(G248-G217=0,0,"Error")</f>
        <v>0</v>
      </c>
      <c r="H252" s="266">
        <f>IF(H248-H217=0,0,"Error")</f>
        <v>0</v>
      </c>
    </row>
    <row r="253" spans="4:8" ht="15.75" thickBot="1" x14ac:dyDescent="0.3">
      <c r="D253" s="496" t="s">
        <v>105</v>
      </c>
      <c r="E253" s="497"/>
      <c r="F253" s="497"/>
      <c r="G253" s="497"/>
      <c r="H253" s="498"/>
    </row>
    <row r="254" spans="4:8" ht="15.75" thickBot="1" x14ac:dyDescent="0.3">
      <c r="D254" s="496" t="s">
        <v>171</v>
      </c>
      <c r="E254" s="497"/>
      <c r="F254" s="497"/>
      <c r="G254" s="497"/>
      <c r="H254" s="498"/>
    </row>
    <row r="255" spans="4:8" ht="15.75" thickBot="1" x14ac:dyDescent="0.3">
      <c r="D255" s="50" t="s">
        <v>260</v>
      </c>
      <c r="E255" s="481" t="s">
        <v>424</v>
      </c>
      <c r="F255" s="482"/>
      <c r="G255" s="482"/>
      <c r="H255" s="483"/>
    </row>
    <row r="256" spans="4:8" ht="15.75" thickBot="1" x14ac:dyDescent="0.3">
      <c r="D256" s="158" t="s">
        <v>94</v>
      </c>
      <c r="E256" s="481" t="s">
        <v>425</v>
      </c>
      <c r="F256" s="482"/>
      <c r="G256" s="482"/>
      <c r="H256" s="483"/>
    </row>
    <row r="257" spans="4:8" ht="15.75" thickBot="1" x14ac:dyDescent="0.3">
      <c r="D257" s="50" t="s">
        <v>73</v>
      </c>
      <c r="E257" s="487" t="s">
        <v>426</v>
      </c>
      <c r="F257" s="488"/>
      <c r="G257" s="488"/>
      <c r="H257" s="489"/>
    </row>
    <row r="258" spans="4:8" ht="15.75" thickBot="1" x14ac:dyDescent="0.3">
      <c r="D258" s="50" t="s">
        <v>75</v>
      </c>
      <c r="E258" s="502" t="s">
        <v>413</v>
      </c>
      <c r="F258" s="503"/>
      <c r="G258" s="503"/>
      <c r="H258" s="504"/>
    </row>
    <row r="259" spans="4:8" x14ac:dyDescent="0.25">
      <c r="D259" s="479"/>
      <c r="E259" s="156">
        <v>2018</v>
      </c>
      <c r="F259" s="156">
        <v>2019</v>
      </c>
      <c r="G259" s="156">
        <v>2020</v>
      </c>
      <c r="H259" s="156">
        <v>2021</v>
      </c>
    </row>
    <row r="260" spans="4:8" ht="15.75" thickBot="1" x14ac:dyDescent="0.3">
      <c r="D260" s="480"/>
      <c r="E260" s="157" t="s">
        <v>42</v>
      </c>
      <c r="F260" s="157" t="s">
        <v>43</v>
      </c>
      <c r="G260" s="157" t="s">
        <v>43</v>
      </c>
      <c r="H260" s="157" t="s">
        <v>43</v>
      </c>
    </row>
    <row r="261" spans="4:8" ht="15.75" thickBot="1" x14ac:dyDescent="0.3">
      <c r="D261" s="50" t="s">
        <v>427</v>
      </c>
      <c r="E261" s="140">
        <v>20</v>
      </c>
      <c r="F261" s="140">
        <v>20</v>
      </c>
      <c r="G261" s="140">
        <v>20</v>
      </c>
      <c r="H261" s="140">
        <v>20</v>
      </c>
    </row>
    <row r="262" spans="4:8" ht="15.75" thickBot="1" x14ac:dyDescent="0.3">
      <c r="D262" s="50" t="s">
        <v>78</v>
      </c>
      <c r="E262" s="140">
        <v>28000</v>
      </c>
      <c r="F262" s="140">
        <v>28000</v>
      </c>
      <c r="G262" s="140">
        <v>28000</v>
      </c>
      <c r="H262" s="140">
        <v>28000</v>
      </c>
    </row>
    <row r="263" spans="4:8" ht="15.75" thickBot="1" x14ac:dyDescent="0.3">
      <c r="D263" s="50" t="s">
        <v>79</v>
      </c>
      <c r="E263" s="140">
        <f>E262/E261</f>
        <v>1400</v>
      </c>
      <c r="F263" s="140">
        <f>F262/F261</f>
        <v>1400</v>
      </c>
      <c r="G263" s="140">
        <f t="shared" ref="G263:H263" si="12">G262/G261</f>
        <v>1400</v>
      </c>
      <c r="H263" s="140">
        <f t="shared" si="12"/>
        <v>1400</v>
      </c>
    </row>
    <row r="264" spans="4:8" ht="15.75" thickBot="1" x14ac:dyDescent="0.3">
      <c r="D264" s="50" t="s">
        <v>80</v>
      </c>
      <c r="E264" s="160" t="s">
        <v>81</v>
      </c>
      <c r="F264" s="161">
        <f>F261/E261-1</f>
        <v>0</v>
      </c>
      <c r="G264" s="161">
        <f t="shared" ref="G264:H266" si="13">G261/F261-1</f>
        <v>0</v>
      </c>
      <c r="H264" s="161">
        <f t="shared" si="13"/>
        <v>0</v>
      </c>
    </row>
    <row r="265" spans="4:8" ht="15.75" thickBot="1" x14ac:dyDescent="0.3">
      <c r="D265" s="50" t="s">
        <v>82</v>
      </c>
      <c r="E265" s="160" t="s">
        <v>81</v>
      </c>
      <c r="F265" s="161">
        <f>F262/E262-1</f>
        <v>0</v>
      </c>
      <c r="G265" s="161">
        <f t="shared" si="13"/>
        <v>0</v>
      </c>
      <c r="H265" s="161">
        <f t="shared" si="13"/>
        <v>0</v>
      </c>
    </row>
    <row r="266" spans="4:8" ht="15.75" thickBot="1" x14ac:dyDescent="0.3">
      <c r="D266" s="50" t="s">
        <v>83</v>
      </c>
      <c r="E266" s="160" t="s">
        <v>81</v>
      </c>
      <c r="F266" s="161">
        <f>F263/E263-1</f>
        <v>0</v>
      </c>
      <c r="G266" s="161">
        <f t="shared" si="13"/>
        <v>0</v>
      </c>
      <c r="H266" s="161">
        <f t="shared" si="13"/>
        <v>0</v>
      </c>
    </row>
    <row r="267" spans="4:8" ht="15.75" thickBot="1" x14ac:dyDescent="0.3">
      <c r="D267" s="493" t="s">
        <v>98</v>
      </c>
      <c r="E267" s="494"/>
      <c r="F267" s="494"/>
      <c r="G267" s="494"/>
      <c r="H267" s="495"/>
    </row>
    <row r="268" spans="4:8" x14ac:dyDescent="0.25">
      <c r="D268" s="479"/>
      <c r="E268" s="156">
        <v>2018</v>
      </c>
      <c r="F268" s="156">
        <v>2019</v>
      </c>
      <c r="G268" s="156">
        <v>2020</v>
      </c>
      <c r="H268" s="156">
        <v>2021</v>
      </c>
    </row>
    <row r="269" spans="4:8" ht="15.75" thickBot="1" x14ac:dyDescent="0.3">
      <c r="D269" s="480"/>
      <c r="E269" s="157" t="s">
        <v>42</v>
      </c>
      <c r="F269" s="157" t="s">
        <v>43</v>
      </c>
      <c r="G269" s="157" t="s">
        <v>43</v>
      </c>
      <c r="H269" s="157" t="s">
        <v>43</v>
      </c>
    </row>
    <row r="270" spans="4:8" ht="15.75" thickBot="1" x14ac:dyDescent="0.3">
      <c r="D270" s="162" t="s">
        <v>113</v>
      </c>
      <c r="E270" s="164">
        <v>28000</v>
      </c>
      <c r="F270" s="164">
        <v>28000</v>
      </c>
      <c r="G270" s="164">
        <v>28000</v>
      </c>
      <c r="H270" s="164">
        <v>28000</v>
      </c>
    </row>
    <row r="271" spans="4:8" ht="15.75" thickBot="1" x14ac:dyDescent="0.3">
      <c r="D271" s="269" t="s">
        <v>99</v>
      </c>
      <c r="E271" s="266">
        <f>E270</f>
        <v>28000</v>
      </c>
      <c r="F271" s="266">
        <f>F270</f>
        <v>28000</v>
      </c>
      <c r="G271" s="266">
        <f t="shared" ref="G271:H271" si="14">G270</f>
        <v>28000</v>
      </c>
      <c r="H271" s="266">
        <f t="shared" si="14"/>
        <v>28000</v>
      </c>
    </row>
    <row r="272" spans="4:8" x14ac:dyDescent="0.25">
      <c r="D272" s="513" t="s">
        <v>114</v>
      </c>
      <c r="E272" s="514"/>
      <c r="F272" s="515"/>
      <c r="G272" s="515"/>
      <c r="H272" s="516"/>
    </row>
    <row r="273" spans="4:8" ht="7.5" customHeight="1" thickBot="1" x14ac:dyDescent="0.3">
      <c r="D273" s="505"/>
      <c r="E273" s="507"/>
      <c r="F273" s="508"/>
      <c r="G273" s="508"/>
      <c r="H273" s="509"/>
    </row>
    <row r="274" spans="4:8" ht="15.75" hidden="1" thickBot="1" x14ac:dyDescent="0.3">
      <c r="D274" s="506"/>
      <c r="E274" s="510"/>
      <c r="F274" s="511"/>
      <c r="G274" s="511"/>
      <c r="H274" s="512"/>
    </row>
    <row r="275" spans="4:8" ht="15.75" thickBot="1" x14ac:dyDescent="0.3">
      <c r="D275" s="50" t="s">
        <v>260</v>
      </c>
      <c r="E275" s="481" t="s">
        <v>428</v>
      </c>
      <c r="F275" s="482"/>
      <c r="G275" s="482"/>
      <c r="H275" s="483"/>
    </row>
    <row r="276" spans="4:8" ht="15.75" thickBot="1" x14ac:dyDescent="0.3">
      <c r="D276" s="158" t="s">
        <v>639</v>
      </c>
      <c r="E276" s="502" t="s">
        <v>430</v>
      </c>
      <c r="F276" s="503"/>
      <c r="G276" s="503"/>
      <c r="H276" s="504"/>
    </row>
    <row r="277" spans="4:8" ht="15.75" thickBot="1" x14ac:dyDescent="0.3">
      <c r="D277" s="50" t="s">
        <v>73</v>
      </c>
      <c r="E277" s="487" t="s">
        <v>431</v>
      </c>
      <c r="F277" s="488"/>
      <c r="G277" s="488"/>
      <c r="H277" s="489"/>
    </row>
    <row r="278" spans="4:8" ht="15.75" thickBot="1" x14ac:dyDescent="0.3">
      <c r="D278" s="50" t="s">
        <v>75</v>
      </c>
      <c r="E278" s="502" t="s">
        <v>432</v>
      </c>
      <c r="F278" s="503"/>
      <c r="G278" s="503"/>
      <c r="H278" s="504"/>
    </row>
    <row r="279" spans="4:8" x14ac:dyDescent="0.25">
      <c r="D279" s="479"/>
      <c r="E279" s="156">
        <v>2018</v>
      </c>
      <c r="F279" s="156">
        <v>2019</v>
      </c>
      <c r="G279" s="156">
        <v>2020</v>
      </c>
      <c r="H279" s="156">
        <v>2021</v>
      </c>
    </row>
    <row r="280" spans="4:8" ht="15.75" thickBot="1" x14ac:dyDescent="0.3">
      <c r="D280" s="480"/>
      <c r="E280" s="157" t="s">
        <v>42</v>
      </c>
      <c r="F280" s="157" t="s">
        <v>43</v>
      </c>
      <c r="G280" s="157" t="s">
        <v>43</v>
      </c>
      <c r="H280" s="157" t="s">
        <v>43</v>
      </c>
    </row>
    <row r="281" spans="4:8" ht="15.75" thickBot="1" x14ac:dyDescent="0.3">
      <c r="D281" s="50" t="s">
        <v>427</v>
      </c>
      <c r="E281" s="140">
        <v>25</v>
      </c>
      <c r="F281" s="140">
        <v>25</v>
      </c>
      <c r="G281" s="140">
        <v>25</v>
      </c>
      <c r="H281" s="140">
        <v>25</v>
      </c>
    </row>
    <row r="282" spans="4:8" ht="15.75" thickBot="1" x14ac:dyDescent="0.3">
      <c r="D282" s="50" t="s">
        <v>78</v>
      </c>
      <c r="E282" s="140">
        <v>15000</v>
      </c>
      <c r="F282" s="140">
        <v>15000</v>
      </c>
      <c r="G282" s="140">
        <v>15000</v>
      </c>
      <c r="H282" s="140">
        <v>15000</v>
      </c>
    </row>
    <row r="283" spans="4:8" ht="15.75" thickBot="1" x14ac:dyDescent="0.3">
      <c r="D283" s="50" t="s">
        <v>79</v>
      </c>
      <c r="E283" s="140">
        <f>E282/E281</f>
        <v>600</v>
      </c>
      <c r="F283" s="140">
        <f t="shared" ref="F283:H283" si="15">F282/F281</f>
        <v>600</v>
      </c>
      <c r="G283" s="140">
        <f t="shared" si="15"/>
        <v>600</v>
      </c>
      <c r="H283" s="140">
        <f t="shared" si="15"/>
        <v>600</v>
      </c>
    </row>
    <row r="284" spans="4:8" ht="15.75" thickBot="1" x14ac:dyDescent="0.3">
      <c r="D284" s="50" t="s">
        <v>80</v>
      </c>
      <c r="E284" s="160" t="s">
        <v>81</v>
      </c>
      <c r="F284" s="161">
        <f>F281/E281-1</f>
        <v>0</v>
      </c>
      <c r="G284" s="161">
        <f t="shared" ref="G284:H286" si="16">G281/F281-1</f>
        <v>0</v>
      </c>
      <c r="H284" s="161">
        <f t="shared" si="16"/>
        <v>0</v>
      </c>
    </row>
    <row r="285" spans="4:8" ht="15.75" thickBot="1" x14ac:dyDescent="0.3">
      <c r="D285" s="50" t="s">
        <v>82</v>
      </c>
      <c r="E285" s="160" t="s">
        <v>81</v>
      </c>
      <c r="F285" s="161">
        <f>F282/E282-1</f>
        <v>0</v>
      </c>
      <c r="G285" s="161">
        <f t="shared" si="16"/>
        <v>0</v>
      </c>
      <c r="H285" s="161">
        <f t="shared" si="16"/>
        <v>0</v>
      </c>
    </row>
    <row r="286" spans="4:8" ht="15.75" thickBot="1" x14ac:dyDescent="0.3">
      <c r="D286" s="50" t="s">
        <v>83</v>
      </c>
      <c r="E286" s="160" t="s">
        <v>81</v>
      </c>
      <c r="F286" s="161">
        <f>F283/E283-1</f>
        <v>0</v>
      </c>
      <c r="G286" s="161">
        <f t="shared" si="16"/>
        <v>0</v>
      </c>
      <c r="H286" s="161">
        <f t="shared" si="16"/>
        <v>0</v>
      </c>
    </row>
    <row r="287" spans="4:8" ht="15.75" thickBot="1" x14ac:dyDescent="0.3">
      <c r="D287" s="493" t="s">
        <v>433</v>
      </c>
      <c r="E287" s="494"/>
      <c r="F287" s="494"/>
      <c r="G287" s="494"/>
      <c r="H287" s="495"/>
    </row>
    <row r="288" spans="4:8" x14ac:dyDescent="0.25">
      <c r="D288" s="479"/>
      <c r="E288" s="156">
        <v>2018</v>
      </c>
      <c r="F288" s="156">
        <v>2019</v>
      </c>
      <c r="G288" s="156">
        <v>2020</v>
      </c>
      <c r="H288" s="156">
        <v>2021</v>
      </c>
    </row>
    <row r="289" spans="4:8" ht="15.75" thickBot="1" x14ac:dyDescent="0.3">
      <c r="D289" s="480"/>
      <c r="E289" s="157" t="s">
        <v>42</v>
      </c>
      <c r="F289" s="157" t="s">
        <v>43</v>
      </c>
      <c r="G289" s="157" t="s">
        <v>43</v>
      </c>
      <c r="H289" s="157" t="s">
        <v>43</v>
      </c>
    </row>
    <row r="290" spans="4:8" ht="15.75" thickBot="1" x14ac:dyDescent="0.3">
      <c r="D290" s="162" t="s">
        <v>170</v>
      </c>
      <c r="E290" s="159">
        <v>15000</v>
      </c>
      <c r="F290" s="159">
        <v>15000</v>
      </c>
      <c r="G290" s="159">
        <v>15000</v>
      </c>
      <c r="H290" s="159">
        <v>15000</v>
      </c>
    </row>
    <row r="291" spans="4:8" ht="15.75" thickBot="1" x14ac:dyDescent="0.3">
      <c r="D291" s="162" t="s">
        <v>113</v>
      </c>
      <c r="E291" s="164"/>
      <c r="F291" s="159"/>
      <c r="G291" s="159"/>
      <c r="H291" s="159"/>
    </row>
    <row r="292" spans="4:8" ht="15.75" thickBot="1" x14ac:dyDescent="0.3">
      <c r="D292" s="269" t="s">
        <v>104</v>
      </c>
      <c r="E292" s="266">
        <f>E291+E290</f>
        <v>15000</v>
      </c>
      <c r="F292" s="266">
        <f t="shared" ref="F292:H292" si="17">F291+F290</f>
        <v>15000</v>
      </c>
      <c r="G292" s="266">
        <f t="shared" si="17"/>
        <v>15000</v>
      </c>
      <c r="H292" s="266">
        <f t="shared" si="17"/>
        <v>15000</v>
      </c>
    </row>
    <row r="293" spans="4:8" x14ac:dyDescent="0.25">
      <c r="D293" s="505" t="s">
        <v>434</v>
      </c>
      <c r="E293" s="507"/>
      <c r="F293" s="508"/>
      <c r="G293" s="508"/>
      <c r="H293" s="509"/>
    </row>
    <row r="294" spans="4:8" ht="15.75" thickBot="1" x14ac:dyDescent="0.3">
      <c r="D294" s="505"/>
      <c r="E294" s="507"/>
      <c r="F294" s="508"/>
      <c r="G294" s="508"/>
      <c r="H294" s="509"/>
    </row>
    <row r="295" spans="4:8" ht="2.25" hidden="1" customHeight="1" thickBot="1" x14ac:dyDescent="0.3">
      <c r="D295" s="505"/>
      <c r="E295" s="507"/>
      <c r="F295" s="508"/>
      <c r="G295" s="508"/>
      <c r="H295" s="509"/>
    </row>
    <row r="296" spans="4:8" ht="15.75" hidden="1" thickBot="1" x14ac:dyDescent="0.3">
      <c r="D296" s="506"/>
      <c r="E296" s="510"/>
      <c r="F296" s="511"/>
      <c r="G296" s="511"/>
      <c r="H296" s="512"/>
    </row>
    <row r="297" spans="4:8" ht="15.75" hidden="1" thickBot="1" x14ac:dyDescent="0.3">
      <c r="D297" s="167"/>
      <c r="E297" s="168"/>
      <c r="F297" s="168"/>
      <c r="G297" s="168"/>
      <c r="H297" s="169"/>
    </row>
    <row r="298" spans="4:8" ht="15.75" thickBot="1" x14ac:dyDescent="0.3">
      <c r="D298" s="50" t="s">
        <v>260</v>
      </c>
      <c r="E298" s="481" t="s">
        <v>435</v>
      </c>
      <c r="F298" s="482"/>
      <c r="G298" s="482"/>
      <c r="H298" s="483"/>
    </row>
    <row r="299" spans="4:8" ht="15.75" thickBot="1" x14ac:dyDescent="0.3">
      <c r="D299" s="158" t="s">
        <v>116</v>
      </c>
      <c r="E299" s="481" t="s">
        <v>436</v>
      </c>
      <c r="F299" s="482"/>
      <c r="G299" s="482"/>
      <c r="H299" s="483"/>
    </row>
    <row r="300" spans="4:8" ht="15.75" thickBot="1" x14ac:dyDescent="0.3">
      <c r="D300" s="50" t="s">
        <v>73</v>
      </c>
      <c r="E300" s="487" t="s">
        <v>437</v>
      </c>
      <c r="F300" s="488"/>
      <c r="G300" s="488"/>
      <c r="H300" s="489"/>
    </row>
    <row r="301" spans="4:8" ht="15.75" thickBot="1" x14ac:dyDescent="0.3">
      <c r="D301" s="50" t="s">
        <v>75</v>
      </c>
      <c r="E301" s="502" t="s">
        <v>413</v>
      </c>
      <c r="F301" s="503"/>
      <c r="G301" s="503"/>
      <c r="H301" s="504"/>
    </row>
    <row r="302" spans="4:8" x14ac:dyDescent="0.25">
      <c r="D302" s="479"/>
      <c r="E302" s="156">
        <v>2018</v>
      </c>
      <c r="F302" s="156">
        <v>2019</v>
      </c>
      <c r="G302" s="156">
        <v>2020</v>
      </c>
      <c r="H302" s="156">
        <v>2021</v>
      </c>
    </row>
    <row r="303" spans="4:8" ht="15.75" thickBot="1" x14ac:dyDescent="0.3">
      <c r="D303" s="480"/>
      <c r="E303" s="157" t="s">
        <v>42</v>
      </c>
      <c r="F303" s="157" t="s">
        <v>43</v>
      </c>
      <c r="G303" s="157" t="s">
        <v>43</v>
      </c>
      <c r="H303" s="157" t="s">
        <v>43</v>
      </c>
    </row>
    <row r="304" spans="4:8" ht="15.75" thickBot="1" x14ac:dyDescent="0.3">
      <c r="D304" s="50" t="s">
        <v>427</v>
      </c>
      <c r="E304" s="140">
        <v>20</v>
      </c>
      <c r="F304" s="140">
        <v>20</v>
      </c>
      <c r="G304" s="140">
        <v>20</v>
      </c>
      <c r="H304" s="140">
        <v>20</v>
      </c>
    </row>
    <row r="305" spans="4:8" ht="15.75" thickBot="1" x14ac:dyDescent="0.3">
      <c r="D305" s="50" t="s">
        <v>78</v>
      </c>
      <c r="E305" s="140">
        <v>10000</v>
      </c>
      <c r="F305" s="140">
        <v>10000</v>
      </c>
      <c r="G305" s="140">
        <v>10000</v>
      </c>
      <c r="H305" s="140">
        <v>10000</v>
      </c>
    </row>
    <row r="306" spans="4:8" ht="15.75" thickBot="1" x14ac:dyDescent="0.3">
      <c r="D306" s="50" t="s">
        <v>79</v>
      </c>
      <c r="E306" s="140">
        <f>E305/E304</f>
        <v>500</v>
      </c>
      <c r="F306" s="140">
        <f>F305/F304</f>
        <v>500</v>
      </c>
      <c r="G306" s="140">
        <f t="shared" ref="G306:H306" si="18">G305/G304</f>
        <v>500</v>
      </c>
      <c r="H306" s="140">
        <f t="shared" si="18"/>
        <v>500</v>
      </c>
    </row>
    <row r="307" spans="4:8" ht="15.75" thickBot="1" x14ac:dyDescent="0.3">
      <c r="D307" s="50" t="s">
        <v>80</v>
      </c>
      <c r="E307" s="160" t="s">
        <v>81</v>
      </c>
      <c r="F307" s="161">
        <f>F304/E304-1</f>
        <v>0</v>
      </c>
      <c r="G307" s="161">
        <f t="shared" ref="G307:H309" si="19">G304/F304-1</f>
        <v>0</v>
      </c>
      <c r="H307" s="161">
        <f t="shared" si="19"/>
        <v>0</v>
      </c>
    </row>
    <row r="308" spans="4:8" ht="15.75" thickBot="1" x14ac:dyDescent="0.3">
      <c r="D308" s="50" t="s">
        <v>82</v>
      </c>
      <c r="E308" s="160" t="s">
        <v>81</v>
      </c>
      <c r="F308" s="161">
        <f>F305/E305-1</f>
        <v>0</v>
      </c>
      <c r="G308" s="161">
        <f t="shared" si="19"/>
        <v>0</v>
      </c>
      <c r="H308" s="161">
        <f t="shared" si="19"/>
        <v>0</v>
      </c>
    </row>
    <row r="309" spans="4:8" ht="15.75" thickBot="1" x14ac:dyDescent="0.3">
      <c r="D309" s="50" t="s">
        <v>83</v>
      </c>
      <c r="E309" s="160" t="s">
        <v>81</v>
      </c>
      <c r="F309" s="161">
        <f>F306/E306-1</f>
        <v>0</v>
      </c>
      <c r="G309" s="161">
        <f t="shared" si="19"/>
        <v>0</v>
      </c>
      <c r="H309" s="161">
        <f t="shared" si="19"/>
        <v>0</v>
      </c>
    </row>
    <row r="310" spans="4:8" ht="15.75" thickBot="1" x14ac:dyDescent="0.3">
      <c r="D310" s="493" t="s">
        <v>438</v>
      </c>
      <c r="E310" s="494"/>
      <c r="F310" s="494"/>
      <c r="G310" s="494"/>
      <c r="H310" s="495"/>
    </row>
    <row r="311" spans="4:8" x14ac:dyDescent="0.25">
      <c r="D311" s="479"/>
      <c r="E311" s="156">
        <v>2018</v>
      </c>
      <c r="F311" s="156">
        <v>2019</v>
      </c>
      <c r="G311" s="156">
        <v>2020</v>
      </c>
      <c r="H311" s="156">
        <v>2021</v>
      </c>
    </row>
    <row r="312" spans="4:8" ht="15.75" thickBot="1" x14ac:dyDescent="0.3">
      <c r="D312" s="480"/>
      <c r="E312" s="157" t="s">
        <v>42</v>
      </c>
      <c r="F312" s="157" t="s">
        <v>43</v>
      </c>
      <c r="G312" s="157" t="s">
        <v>43</v>
      </c>
      <c r="H312" s="157" t="s">
        <v>43</v>
      </c>
    </row>
    <row r="313" spans="4:8" ht="15.75" thickBot="1" x14ac:dyDescent="0.3">
      <c r="D313" s="162" t="s">
        <v>113</v>
      </c>
      <c r="E313" s="164">
        <v>10000</v>
      </c>
      <c r="F313" s="164">
        <v>10000</v>
      </c>
      <c r="G313" s="164">
        <v>10000</v>
      </c>
      <c r="H313" s="164">
        <v>10000</v>
      </c>
    </row>
    <row r="314" spans="4:8" ht="15.75" thickBot="1" x14ac:dyDescent="0.3">
      <c r="D314" s="269" t="s">
        <v>265</v>
      </c>
      <c r="E314" s="266">
        <f>E313</f>
        <v>10000</v>
      </c>
      <c r="F314" s="266">
        <f>F313</f>
        <v>10000</v>
      </c>
      <c r="G314" s="266">
        <f t="shared" ref="G314:H314" si="20">G313</f>
        <v>10000</v>
      </c>
      <c r="H314" s="266">
        <f t="shared" si="20"/>
        <v>10000</v>
      </c>
    </row>
    <row r="315" spans="4:8" x14ac:dyDescent="0.25">
      <c r="D315" s="513" t="s">
        <v>114</v>
      </c>
      <c r="E315" s="514"/>
      <c r="F315" s="515"/>
      <c r="G315" s="515"/>
      <c r="H315" s="516"/>
    </row>
    <row r="316" spans="4:8" ht="13.5" customHeight="1" thickBot="1" x14ac:dyDescent="0.3">
      <c r="D316" s="505"/>
      <c r="E316" s="507"/>
      <c r="F316" s="508"/>
      <c r="G316" s="508"/>
      <c r="H316" s="509"/>
    </row>
    <row r="317" spans="4:8" ht="15.75" hidden="1" thickBot="1" x14ac:dyDescent="0.3">
      <c r="D317" s="506"/>
      <c r="E317" s="510"/>
      <c r="F317" s="511"/>
      <c r="G317" s="511"/>
      <c r="H317" s="512"/>
    </row>
    <row r="318" spans="4:8" ht="15.75" thickBot="1" x14ac:dyDescent="0.3">
      <c r="D318" s="50" t="s">
        <v>260</v>
      </c>
      <c r="E318" s="481" t="s">
        <v>439</v>
      </c>
      <c r="F318" s="482"/>
      <c r="G318" s="482"/>
      <c r="H318" s="483"/>
    </row>
    <row r="319" spans="4:8" ht="15.75" thickBot="1" x14ac:dyDescent="0.3">
      <c r="D319" s="158" t="s">
        <v>267</v>
      </c>
      <c r="E319" s="481" t="s">
        <v>440</v>
      </c>
      <c r="F319" s="482"/>
      <c r="G319" s="482"/>
      <c r="H319" s="483"/>
    </row>
    <row r="320" spans="4:8" ht="30" customHeight="1" thickBot="1" x14ac:dyDescent="0.3">
      <c r="D320" s="50" t="s">
        <v>73</v>
      </c>
      <c r="E320" s="499" t="s">
        <v>441</v>
      </c>
      <c r="F320" s="500"/>
      <c r="G320" s="500"/>
      <c r="H320" s="501"/>
    </row>
    <row r="321" spans="4:8" ht="15.75" thickBot="1" x14ac:dyDescent="0.3">
      <c r="D321" s="50" t="s">
        <v>75</v>
      </c>
      <c r="E321" s="502" t="s">
        <v>413</v>
      </c>
      <c r="F321" s="503"/>
      <c r="G321" s="503"/>
      <c r="H321" s="504"/>
    </row>
    <row r="322" spans="4:8" x14ac:dyDescent="0.25">
      <c r="D322" s="479"/>
      <c r="E322" s="156">
        <v>2018</v>
      </c>
      <c r="F322" s="156">
        <v>2019</v>
      </c>
      <c r="G322" s="156">
        <v>2020</v>
      </c>
      <c r="H322" s="156">
        <v>2021</v>
      </c>
    </row>
    <row r="323" spans="4:8" ht="15.75" thickBot="1" x14ac:dyDescent="0.3">
      <c r="D323" s="480"/>
      <c r="E323" s="157" t="s">
        <v>42</v>
      </c>
      <c r="F323" s="157" t="s">
        <v>43</v>
      </c>
      <c r="G323" s="157" t="s">
        <v>43</v>
      </c>
      <c r="H323" s="157" t="s">
        <v>43</v>
      </c>
    </row>
    <row r="324" spans="4:8" ht="15.75" thickBot="1" x14ac:dyDescent="0.3">
      <c r="D324" s="50" t="s">
        <v>427</v>
      </c>
      <c r="E324" s="140">
        <v>20</v>
      </c>
      <c r="F324" s="140">
        <v>20</v>
      </c>
      <c r="G324" s="140">
        <v>20</v>
      </c>
      <c r="H324" s="140">
        <v>20</v>
      </c>
    </row>
    <row r="325" spans="4:8" ht="15.75" thickBot="1" x14ac:dyDescent="0.3">
      <c r="D325" s="50" t="s">
        <v>78</v>
      </c>
      <c r="E325" s="140">
        <v>10000</v>
      </c>
      <c r="F325" s="140">
        <v>10000</v>
      </c>
      <c r="G325" s="140">
        <v>10000</v>
      </c>
      <c r="H325" s="140">
        <v>10000</v>
      </c>
    </row>
    <row r="326" spans="4:8" ht="15.75" thickBot="1" x14ac:dyDescent="0.3">
      <c r="D326" s="50" t="s">
        <v>79</v>
      </c>
      <c r="E326" s="140">
        <f>E325/E324</f>
        <v>500</v>
      </c>
      <c r="F326" s="140">
        <f>F325/F324</f>
        <v>500</v>
      </c>
      <c r="G326" s="140">
        <f t="shared" ref="G326:H326" si="21">G325/G324</f>
        <v>500</v>
      </c>
      <c r="H326" s="140">
        <f t="shared" si="21"/>
        <v>500</v>
      </c>
    </row>
    <row r="327" spans="4:8" ht="15.75" thickBot="1" x14ac:dyDescent="0.3">
      <c r="D327" s="50" t="s">
        <v>80</v>
      </c>
      <c r="E327" s="160" t="s">
        <v>81</v>
      </c>
      <c r="F327" s="161">
        <f>F324/E324-1</f>
        <v>0</v>
      </c>
      <c r="G327" s="161">
        <f t="shared" ref="G327:H329" si="22">G324/F324-1</f>
        <v>0</v>
      </c>
      <c r="H327" s="161">
        <f t="shared" si="22"/>
        <v>0</v>
      </c>
    </row>
    <row r="328" spans="4:8" ht="15.75" thickBot="1" x14ac:dyDescent="0.3">
      <c r="D328" s="50" t="s">
        <v>82</v>
      </c>
      <c r="E328" s="160" t="s">
        <v>81</v>
      </c>
      <c r="F328" s="161">
        <f>F325/E325-1</f>
        <v>0</v>
      </c>
      <c r="G328" s="161">
        <f t="shared" si="22"/>
        <v>0</v>
      </c>
      <c r="H328" s="161">
        <f t="shared" si="22"/>
        <v>0</v>
      </c>
    </row>
    <row r="329" spans="4:8" ht="15.75" thickBot="1" x14ac:dyDescent="0.3">
      <c r="D329" s="50" t="s">
        <v>83</v>
      </c>
      <c r="E329" s="160" t="s">
        <v>81</v>
      </c>
      <c r="F329" s="161">
        <f>F326/E326-1</f>
        <v>0</v>
      </c>
      <c r="G329" s="161">
        <f t="shared" si="22"/>
        <v>0</v>
      </c>
      <c r="H329" s="161">
        <f t="shared" si="22"/>
        <v>0</v>
      </c>
    </row>
    <row r="330" spans="4:8" ht="15.75" thickBot="1" x14ac:dyDescent="0.3">
      <c r="D330" s="493" t="s">
        <v>442</v>
      </c>
      <c r="E330" s="494"/>
      <c r="F330" s="494"/>
      <c r="G330" s="494"/>
      <c r="H330" s="495"/>
    </row>
    <row r="331" spans="4:8" x14ac:dyDescent="0.25">
      <c r="D331" s="479"/>
      <c r="E331" s="156">
        <v>2018</v>
      </c>
      <c r="F331" s="156">
        <v>2019</v>
      </c>
      <c r="G331" s="156">
        <v>2020</v>
      </c>
      <c r="H331" s="156">
        <v>2021</v>
      </c>
    </row>
    <row r="332" spans="4:8" ht="15.75" thickBot="1" x14ac:dyDescent="0.3">
      <c r="D332" s="480"/>
      <c r="E332" s="157" t="s">
        <v>42</v>
      </c>
      <c r="F332" s="157" t="s">
        <v>43</v>
      </c>
      <c r="G332" s="157" t="s">
        <v>43</v>
      </c>
      <c r="H332" s="157" t="s">
        <v>43</v>
      </c>
    </row>
    <row r="333" spans="4:8" ht="15.75" thickBot="1" x14ac:dyDescent="0.3">
      <c r="D333" s="162" t="s">
        <v>113</v>
      </c>
      <c r="E333" s="164">
        <v>10000</v>
      </c>
      <c r="F333" s="164">
        <v>10000</v>
      </c>
      <c r="G333" s="164">
        <v>10000</v>
      </c>
      <c r="H333" s="164">
        <v>10000</v>
      </c>
    </row>
    <row r="334" spans="4:8" ht="15.75" thickBot="1" x14ac:dyDescent="0.3">
      <c r="D334" s="269" t="s">
        <v>270</v>
      </c>
      <c r="E334" s="266">
        <f>E333</f>
        <v>10000</v>
      </c>
      <c r="F334" s="266">
        <f>F333</f>
        <v>10000</v>
      </c>
      <c r="G334" s="266">
        <f t="shared" ref="G334:H334" si="23">G333</f>
        <v>10000</v>
      </c>
      <c r="H334" s="266">
        <f t="shared" si="23"/>
        <v>10000</v>
      </c>
    </row>
    <row r="335" spans="4:8" x14ac:dyDescent="0.25">
      <c r="D335" s="513" t="s">
        <v>114</v>
      </c>
      <c r="E335" s="514"/>
      <c r="F335" s="515"/>
      <c r="G335" s="515"/>
      <c r="H335" s="516"/>
    </row>
    <row r="336" spans="4:8" ht="4.5" customHeight="1" thickBot="1" x14ac:dyDescent="0.3">
      <c r="D336" s="505"/>
      <c r="E336" s="507"/>
      <c r="F336" s="508"/>
      <c r="G336" s="508"/>
      <c r="H336" s="509"/>
    </row>
    <row r="337" spans="4:8" ht="15.75" hidden="1" thickBot="1" x14ac:dyDescent="0.3">
      <c r="D337" s="506"/>
      <c r="E337" s="510"/>
      <c r="F337" s="511"/>
      <c r="G337" s="511"/>
      <c r="H337" s="512"/>
    </row>
    <row r="338" spans="4:8" ht="15.75" thickBot="1" x14ac:dyDescent="0.3">
      <c r="D338" s="166" t="s">
        <v>46</v>
      </c>
      <c r="E338" s="332" t="s">
        <v>444</v>
      </c>
      <c r="F338" s="333"/>
      <c r="G338" s="333"/>
      <c r="H338" s="334"/>
    </row>
    <row r="339" spans="4:8" ht="15.75" thickBot="1" x14ac:dyDescent="0.3">
      <c r="D339" s="521" t="s">
        <v>154</v>
      </c>
      <c r="E339" s="522"/>
      <c r="F339" s="522"/>
      <c r="G339" s="522"/>
      <c r="H339" s="523"/>
    </row>
    <row r="340" spans="4:8" ht="23.25" thickBot="1" x14ac:dyDescent="0.3">
      <c r="D340" s="167" t="s">
        <v>445</v>
      </c>
      <c r="E340" s="173">
        <v>0.03</v>
      </c>
      <c r="F340" s="173">
        <v>0.04</v>
      </c>
      <c r="G340" s="173">
        <v>3.5999999999999997E-2</v>
      </c>
      <c r="H340" s="173">
        <v>1.7000000000000001E-2</v>
      </c>
    </row>
    <row r="341" spans="4:8" ht="23.25" thickBot="1" x14ac:dyDescent="0.3">
      <c r="D341" s="167" t="s">
        <v>446</v>
      </c>
      <c r="E341" s="173">
        <v>0.01</v>
      </c>
      <c r="F341" s="173">
        <v>0.01</v>
      </c>
      <c r="G341" s="173">
        <v>0.01</v>
      </c>
      <c r="H341" s="173">
        <v>0.02</v>
      </c>
    </row>
    <row r="342" spans="4:8" ht="15.75" thickBot="1" x14ac:dyDescent="0.3">
      <c r="D342" s="425" t="s">
        <v>69</v>
      </c>
      <c r="E342" s="426"/>
      <c r="F342" s="426"/>
      <c r="G342" s="426"/>
      <c r="H342" s="427"/>
    </row>
    <row r="343" spans="4:8" ht="15.75" thickBot="1" x14ac:dyDescent="0.3">
      <c r="D343" s="428" t="s">
        <v>70</v>
      </c>
      <c r="E343" s="429"/>
      <c r="F343" s="429"/>
      <c r="G343" s="429"/>
      <c r="H343" s="430"/>
    </row>
    <row r="344" spans="4:8" ht="15.75" thickBot="1" x14ac:dyDescent="0.3">
      <c r="D344" s="139" t="s">
        <v>71</v>
      </c>
      <c r="E344" s="425" t="s">
        <v>447</v>
      </c>
      <c r="F344" s="426"/>
      <c r="G344" s="426"/>
      <c r="H344" s="427"/>
    </row>
    <row r="345" spans="4:8" ht="15.75" thickBot="1" x14ac:dyDescent="0.3">
      <c r="D345" s="19" t="s">
        <v>73</v>
      </c>
      <c r="E345" s="392" t="s">
        <v>448</v>
      </c>
      <c r="F345" s="393"/>
      <c r="G345" s="393"/>
      <c r="H345" s="394"/>
    </row>
    <row r="346" spans="4:8" ht="15.75" thickBot="1" x14ac:dyDescent="0.3">
      <c r="D346" s="19" t="s">
        <v>75</v>
      </c>
      <c r="E346" s="425" t="s">
        <v>264</v>
      </c>
      <c r="F346" s="426"/>
      <c r="G346" s="426"/>
      <c r="H346" s="427"/>
    </row>
    <row r="347" spans="4:8" x14ac:dyDescent="0.25">
      <c r="D347" s="350"/>
      <c r="E347" s="20">
        <v>2018</v>
      </c>
      <c r="F347" s="20">
        <v>2019</v>
      </c>
      <c r="G347" s="20">
        <v>2020</v>
      </c>
      <c r="H347" s="20">
        <v>2021</v>
      </c>
    </row>
    <row r="348" spans="4:8" ht="15.75" thickBot="1" x14ac:dyDescent="0.3">
      <c r="D348" s="351"/>
      <c r="E348" s="21" t="s">
        <v>42</v>
      </c>
      <c r="F348" s="21" t="s">
        <v>43</v>
      </c>
      <c r="G348" s="21" t="s">
        <v>43</v>
      </c>
      <c r="H348" s="21" t="s">
        <v>43</v>
      </c>
    </row>
    <row r="349" spans="4:8" ht="15.75" thickBot="1" x14ac:dyDescent="0.3">
      <c r="D349" s="19" t="s">
        <v>77</v>
      </c>
      <c r="E349" s="22">
        <v>270000</v>
      </c>
      <c r="F349" s="22">
        <v>280000</v>
      </c>
      <c r="G349" s="22">
        <v>290000</v>
      </c>
      <c r="H349" s="22">
        <v>295000</v>
      </c>
    </row>
    <row r="350" spans="4:8" ht="15.75" thickBot="1" x14ac:dyDescent="0.3">
      <c r="D350" s="19" t="s">
        <v>78</v>
      </c>
      <c r="E350" s="22">
        <f>E358+E359+E360+E361+E362+E363+E364</f>
        <v>0</v>
      </c>
      <c r="F350" s="22">
        <f t="shared" ref="F350" si="24">F358+F359+F360+F361+F362+F363+F364</f>
        <v>178299</v>
      </c>
      <c r="G350" s="22">
        <f>G358+G359+G360+G361+G362+G363+G364</f>
        <v>178112.97</v>
      </c>
      <c r="H350" s="22">
        <f>H358+H359+H360+H361+H362+H363+H364</f>
        <v>181581.3591</v>
      </c>
    </row>
    <row r="351" spans="4:8" ht="15.75" thickBot="1" x14ac:dyDescent="0.3">
      <c r="D351" s="19" t="s">
        <v>79</v>
      </c>
      <c r="E351" s="264">
        <f>E350/E349</f>
        <v>0</v>
      </c>
      <c r="F351" s="264">
        <f t="shared" ref="F351:H351" si="25">F350/F349</f>
        <v>0.63678214285714285</v>
      </c>
      <c r="G351" s="264">
        <f t="shared" si="25"/>
        <v>0.61418265517241377</v>
      </c>
      <c r="H351" s="264">
        <f t="shared" si="25"/>
        <v>0.61553003084745761</v>
      </c>
    </row>
    <row r="352" spans="4:8" ht="15.75" thickBot="1" x14ac:dyDescent="0.3">
      <c r="D352" s="19" t="s">
        <v>80</v>
      </c>
      <c r="E352" s="260" t="s">
        <v>81</v>
      </c>
      <c r="F352" s="13">
        <f>F349/E349-1</f>
        <v>3.7037037037036979E-2</v>
      </c>
      <c r="G352" s="13">
        <f t="shared" ref="G352:H354" si="26">G349/F349-1</f>
        <v>3.5714285714285809E-2</v>
      </c>
      <c r="H352" s="13">
        <f t="shared" si="26"/>
        <v>1.7241379310344751E-2</v>
      </c>
    </row>
    <row r="353" spans="4:8" ht="15.75" thickBot="1" x14ac:dyDescent="0.3">
      <c r="D353" s="19" t="s">
        <v>82</v>
      </c>
      <c r="E353" s="260" t="s">
        <v>81</v>
      </c>
      <c r="F353" s="13" t="e">
        <f>F350/E350-1</f>
        <v>#DIV/0!</v>
      </c>
      <c r="G353" s="13">
        <f t="shared" si="26"/>
        <v>-1.0433597496339875E-3</v>
      </c>
      <c r="H353" s="13">
        <f t="shared" si="26"/>
        <v>1.9472973248382708E-2</v>
      </c>
    </row>
    <row r="354" spans="4:8" ht="15.75" thickBot="1" x14ac:dyDescent="0.3">
      <c r="D354" s="19" t="s">
        <v>83</v>
      </c>
      <c r="E354" s="260" t="s">
        <v>81</v>
      </c>
      <c r="F354" s="13" t="e">
        <f>F351/E351-1</f>
        <v>#DIV/0!</v>
      </c>
      <c r="G354" s="13">
        <f t="shared" si="26"/>
        <v>-3.5490140447922536E-2</v>
      </c>
      <c r="H354" s="13">
        <f t="shared" si="26"/>
        <v>2.1937703119694341E-3</v>
      </c>
    </row>
    <row r="355" spans="4:8" ht="15.75" thickBot="1" x14ac:dyDescent="0.3">
      <c r="D355" s="392" t="s">
        <v>84</v>
      </c>
      <c r="E355" s="393"/>
      <c r="F355" s="393"/>
      <c r="G355" s="393"/>
      <c r="H355" s="394"/>
    </row>
    <row r="356" spans="4:8" x14ac:dyDescent="0.25">
      <c r="D356" s="350"/>
      <c r="E356" s="20">
        <v>2018</v>
      </c>
      <c r="F356" s="20">
        <v>2019</v>
      </c>
      <c r="G356" s="20">
        <v>2020</v>
      </c>
      <c r="H356" s="20">
        <v>2021</v>
      </c>
    </row>
    <row r="357" spans="4:8" ht="15.75" thickBot="1" x14ac:dyDescent="0.3">
      <c r="D357" s="351"/>
      <c r="E357" s="21" t="s">
        <v>42</v>
      </c>
      <c r="F357" s="21" t="s">
        <v>43</v>
      </c>
      <c r="G357" s="21" t="s">
        <v>43</v>
      </c>
      <c r="H357" s="21" t="s">
        <v>43</v>
      </c>
    </row>
    <row r="358" spans="4:8" ht="15.75" thickBot="1" x14ac:dyDescent="0.3">
      <c r="D358" s="141" t="s">
        <v>85</v>
      </c>
      <c r="E358" s="142">
        <f>'[2]Formati 2 Politika Ekzistuese'!E562</f>
        <v>0</v>
      </c>
      <c r="F358" s="142">
        <v>53500</v>
      </c>
      <c r="G358" s="142">
        <v>53500</v>
      </c>
      <c r="H358" s="142">
        <v>53500</v>
      </c>
    </row>
    <row r="359" spans="4:8" ht="15.75" thickBot="1" x14ac:dyDescent="0.3">
      <c r="D359" s="141" t="s">
        <v>86</v>
      </c>
      <c r="E359" s="142">
        <f>'[2]Formati 2 Politika Ekzistuese'!E565</f>
        <v>0</v>
      </c>
      <c r="F359" s="142">
        <v>9000</v>
      </c>
      <c r="G359" s="142">
        <v>9000</v>
      </c>
      <c r="H359" s="142">
        <v>9000</v>
      </c>
    </row>
    <row r="360" spans="4:8" ht="15.75" thickBot="1" x14ac:dyDescent="0.3">
      <c r="D360" s="141" t="s">
        <v>87</v>
      </c>
      <c r="E360" s="144">
        <f>'[2]Formati 2 Politika Ekzistuese'!E568</f>
        <v>0</v>
      </c>
      <c r="F360" s="144">
        <v>62699</v>
      </c>
      <c r="G360" s="144">
        <f>F360*103%</f>
        <v>64579.97</v>
      </c>
      <c r="H360" s="144">
        <f>G360*103%</f>
        <v>66517.369099999996</v>
      </c>
    </row>
    <row r="361" spans="4:8" ht="15.75" thickBot="1" x14ac:dyDescent="0.3">
      <c r="D361" s="141" t="s">
        <v>88</v>
      </c>
      <c r="E361" s="144">
        <f>'[2]Formati 2 Politika Ekzistuese'!E571</f>
        <v>0</v>
      </c>
      <c r="F361" s="144">
        <f>'[2]Formati 2 Politika Ekzistuese'!F571</f>
        <v>0</v>
      </c>
      <c r="G361" s="144">
        <f>'[2]Formati 2 Politika Ekzistuese'!G571</f>
        <v>0</v>
      </c>
      <c r="H361" s="144">
        <f>'[2]Formati 2 Politika Ekzistuese'!H571</f>
        <v>0</v>
      </c>
    </row>
    <row r="362" spans="4:8" ht="15.75" thickBot="1" x14ac:dyDescent="0.3">
      <c r="D362" s="141" t="s">
        <v>89</v>
      </c>
      <c r="E362" s="144">
        <f>'[2]Formati 2 Politika Ekzistuese'!E574</f>
        <v>0</v>
      </c>
      <c r="F362" s="144">
        <f>54600-1500</f>
        <v>53100</v>
      </c>
      <c r="G362" s="144">
        <f>F362*103%-3660</f>
        <v>51033</v>
      </c>
      <c r="H362" s="144">
        <f>G362*103%</f>
        <v>52563.99</v>
      </c>
    </row>
    <row r="363" spans="4:8" ht="15.75" thickBot="1" x14ac:dyDescent="0.3">
      <c r="D363" s="141" t="s">
        <v>90</v>
      </c>
      <c r="E363" s="144">
        <f>'[2]Formati 2 Politika Ekzistuese'!E577</f>
        <v>0</v>
      </c>
      <c r="F363" s="144">
        <v>0</v>
      </c>
      <c r="G363" s="144">
        <v>0</v>
      </c>
      <c r="H363" s="144">
        <v>0</v>
      </c>
    </row>
    <row r="364" spans="4:8" ht="15.75" thickBot="1" x14ac:dyDescent="0.3">
      <c r="D364" s="141" t="s">
        <v>91</v>
      </c>
      <c r="E364" s="144">
        <f>'[2]Formati 2 Politika Ekzistuese'!E580</f>
        <v>0</v>
      </c>
      <c r="F364" s="144">
        <v>0</v>
      </c>
      <c r="G364" s="144">
        <v>0</v>
      </c>
      <c r="H364" s="144">
        <v>0</v>
      </c>
    </row>
    <row r="365" spans="4:8" ht="15.75" thickBot="1" x14ac:dyDescent="0.3">
      <c r="D365" s="269" t="s">
        <v>92</v>
      </c>
      <c r="E365" s="266">
        <f>E364+E363+E362+E361+E360+E359+E358</f>
        <v>0</v>
      </c>
      <c r="F365" s="266">
        <f t="shared" ref="F365" si="27">F364+F363+F362+F361+F360+F359+F358</f>
        <v>178299</v>
      </c>
      <c r="G365" s="266">
        <f>G364+G363+G362+G361+G360+G359+G358</f>
        <v>178112.97</v>
      </c>
      <c r="H365" s="266">
        <f>SUM(H358:H364)</f>
        <v>181581.3591</v>
      </c>
    </row>
    <row r="366" spans="4:8" ht="15.75" thickBot="1" x14ac:dyDescent="0.3">
      <c r="D366" s="269" t="s">
        <v>93</v>
      </c>
      <c r="E366" s="266">
        <f>IF(E365-E350=0,0,"Error")</f>
        <v>0</v>
      </c>
      <c r="F366" s="266">
        <f>IF(F365-F350=0,0,"Error")</f>
        <v>0</v>
      </c>
      <c r="G366" s="266">
        <f>IF(G365-G350=0,0,"Error")</f>
        <v>0</v>
      </c>
      <c r="H366" s="266">
        <f>IF(H365-H350=0,0,"Error")</f>
        <v>0</v>
      </c>
    </row>
    <row r="367" spans="4:8" ht="15.75" thickBot="1" x14ac:dyDescent="0.3">
      <c r="D367" s="261" t="s">
        <v>449</v>
      </c>
      <c r="E367" s="425" t="s">
        <v>450</v>
      </c>
      <c r="F367" s="426"/>
      <c r="G367" s="426"/>
      <c r="H367" s="427"/>
    </row>
    <row r="368" spans="4:8" ht="15.75" thickBot="1" x14ac:dyDescent="0.3">
      <c r="D368" s="19" t="s">
        <v>73</v>
      </c>
      <c r="E368" s="392" t="s">
        <v>451</v>
      </c>
      <c r="F368" s="393"/>
      <c r="G368" s="393"/>
      <c r="H368" s="394"/>
    </row>
    <row r="369" spans="4:8" ht="15.75" thickBot="1" x14ac:dyDescent="0.3">
      <c r="D369" s="19" t="s">
        <v>75</v>
      </c>
      <c r="E369" s="425" t="s">
        <v>264</v>
      </c>
      <c r="F369" s="426"/>
      <c r="G369" s="426"/>
      <c r="H369" s="427"/>
    </row>
    <row r="370" spans="4:8" ht="15.75" thickBot="1" x14ac:dyDescent="0.3">
      <c r="D370" s="19" t="s">
        <v>77</v>
      </c>
      <c r="E370" s="22">
        <v>8000</v>
      </c>
      <c r="F370" s="22">
        <v>8100</v>
      </c>
      <c r="G370" s="22">
        <v>8200</v>
      </c>
      <c r="H370" s="22">
        <v>8400</v>
      </c>
    </row>
    <row r="371" spans="4:8" x14ac:dyDescent="0.25">
      <c r="D371" s="350"/>
      <c r="E371" s="20">
        <v>2018</v>
      </c>
      <c r="F371" s="20">
        <v>2019</v>
      </c>
      <c r="G371" s="20">
        <v>2020</v>
      </c>
      <c r="H371" s="20">
        <v>2021</v>
      </c>
    </row>
    <row r="372" spans="4:8" ht="15.75" thickBot="1" x14ac:dyDescent="0.3">
      <c r="D372" s="351"/>
      <c r="E372" s="21" t="s">
        <v>42</v>
      </c>
      <c r="F372" s="21" t="s">
        <v>43</v>
      </c>
      <c r="G372" s="21" t="s">
        <v>43</v>
      </c>
      <c r="H372" s="21" t="s">
        <v>43</v>
      </c>
    </row>
    <row r="373" spans="4:8" ht="15.75" thickBot="1" x14ac:dyDescent="0.3">
      <c r="D373" s="19" t="s">
        <v>78</v>
      </c>
      <c r="E373" s="22">
        <f>'[2]Formati 2 Politika Ekzistuese'!E594</f>
        <v>0</v>
      </c>
      <c r="F373" s="22">
        <v>16701</v>
      </c>
      <c r="G373" s="22">
        <v>16887</v>
      </c>
      <c r="H373" s="22">
        <v>17079</v>
      </c>
    </row>
    <row r="374" spans="4:8" ht="15.75" thickBot="1" x14ac:dyDescent="0.3">
      <c r="D374" s="19" t="s">
        <v>79</v>
      </c>
      <c r="E374" s="22">
        <f>E373/E370</f>
        <v>0</v>
      </c>
      <c r="F374" s="22">
        <f>F373/F370</f>
        <v>2.061851851851852</v>
      </c>
      <c r="G374" s="22">
        <f>G373/G370</f>
        <v>2.0593902439024392</v>
      </c>
      <c r="H374" s="22">
        <f>H373/H370</f>
        <v>2.0332142857142856</v>
      </c>
    </row>
    <row r="375" spans="4:8" ht="15.75" thickBot="1" x14ac:dyDescent="0.3">
      <c r="D375" s="19" t="s">
        <v>80</v>
      </c>
      <c r="E375" s="260"/>
      <c r="F375" s="13">
        <f>F370/E370-1</f>
        <v>1.2499999999999956E-2</v>
      </c>
      <c r="G375" s="13">
        <f>G370/F370-1</f>
        <v>1.2345679012345734E-2</v>
      </c>
      <c r="H375" s="13">
        <f>H370/G370-1</f>
        <v>2.4390243902439046E-2</v>
      </c>
    </row>
    <row r="376" spans="4:8" ht="15.75" thickBot="1" x14ac:dyDescent="0.3">
      <c r="D376" s="19" t="s">
        <v>82</v>
      </c>
      <c r="E376" s="260"/>
      <c r="F376" s="13" t="e">
        <f>F373/E373-1</f>
        <v>#DIV/0!</v>
      </c>
      <c r="G376" s="13">
        <f t="shared" ref="G376:H377" si="28">G373/F373-1</f>
        <v>1.1137057661217975E-2</v>
      </c>
      <c r="H376" s="13">
        <f t="shared" si="28"/>
        <v>1.1369692662995146E-2</v>
      </c>
    </row>
    <row r="377" spans="4:8" ht="15.75" thickBot="1" x14ac:dyDescent="0.3">
      <c r="D377" s="19" t="s">
        <v>83</v>
      </c>
      <c r="E377" s="260"/>
      <c r="F377" s="13" t="e">
        <f>F374/E374-1</f>
        <v>#DIV/0!</v>
      </c>
      <c r="G377" s="13">
        <f t="shared" si="28"/>
        <v>-1.1938820663579541E-3</v>
      </c>
      <c r="H377" s="13">
        <f t="shared" si="28"/>
        <v>-1.2710538114695247E-2</v>
      </c>
    </row>
    <row r="378" spans="4:8" ht="15.75" thickBot="1" x14ac:dyDescent="0.3">
      <c r="D378" s="392" t="s">
        <v>452</v>
      </c>
      <c r="E378" s="393"/>
      <c r="F378" s="393"/>
      <c r="G378" s="393"/>
      <c r="H378" s="394"/>
    </row>
    <row r="379" spans="4:8" x14ac:dyDescent="0.25">
      <c r="D379" s="350"/>
      <c r="E379" s="20">
        <v>2018</v>
      </c>
      <c r="F379" s="20">
        <v>2019</v>
      </c>
      <c r="G379" s="20">
        <v>2020</v>
      </c>
      <c r="H379" s="20">
        <v>2021</v>
      </c>
    </row>
    <row r="380" spans="4:8" ht="15.75" thickBot="1" x14ac:dyDescent="0.3">
      <c r="D380" s="351"/>
      <c r="E380" s="21" t="s">
        <v>42</v>
      </c>
      <c r="F380" s="21" t="s">
        <v>43</v>
      </c>
      <c r="G380" s="21" t="s">
        <v>43</v>
      </c>
      <c r="H380" s="21" t="s">
        <v>43</v>
      </c>
    </row>
    <row r="381" spans="4:8" ht="15.75" thickBot="1" x14ac:dyDescent="0.3">
      <c r="D381" s="141" t="s">
        <v>85</v>
      </c>
      <c r="E381" s="142">
        <f>'[2]Formati 2 Politika Ekzistuese'!E602</f>
        <v>0</v>
      </c>
      <c r="F381" s="142">
        <v>9000</v>
      </c>
      <c r="G381" s="142">
        <v>9000</v>
      </c>
      <c r="H381" s="142">
        <v>9000</v>
      </c>
    </row>
    <row r="382" spans="4:8" ht="15.75" thickBot="1" x14ac:dyDescent="0.3">
      <c r="D382" s="141" t="s">
        <v>86</v>
      </c>
      <c r="E382" s="142">
        <f>'[2]Formati 2 Politika Ekzistuese'!E605</f>
        <v>0</v>
      </c>
      <c r="F382" s="142">
        <v>1500</v>
      </c>
      <c r="G382" s="142">
        <v>1500</v>
      </c>
      <c r="H382" s="142">
        <v>1500</v>
      </c>
    </row>
    <row r="383" spans="4:8" ht="15.75" thickBot="1" x14ac:dyDescent="0.3">
      <c r="D383" s="141" t="s">
        <v>87</v>
      </c>
      <c r="E383" s="144">
        <f>'[2]Formati 2 Politika Ekzistuese'!E608</f>
        <v>0</v>
      </c>
      <c r="F383" s="144">
        <v>6201</v>
      </c>
      <c r="G383" s="144">
        <v>6387</v>
      </c>
      <c r="H383" s="144">
        <v>6579</v>
      </c>
    </row>
    <row r="384" spans="4:8" ht="15.75" thickBot="1" x14ac:dyDescent="0.3">
      <c r="D384" s="141" t="s">
        <v>88</v>
      </c>
      <c r="E384" s="144">
        <f>'[2]Formati 2 Politika Ekzistuese'!E611</f>
        <v>0</v>
      </c>
      <c r="F384" s="144">
        <f>'[2]Formati 2 Politika Ekzistuese'!F611</f>
        <v>0</v>
      </c>
      <c r="G384" s="144">
        <f>'[2]Formati 2 Politika Ekzistuese'!G611</f>
        <v>0</v>
      </c>
      <c r="H384" s="144">
        <f>'[2]Formati 2 Politika Ekzistuese'!H611</f>
        <v>0</v>
      </c>
    </row>
    <row r="385" spans="4:8" ht="15.75" thickBot="1" x14ac:dyDescent="0.3">
      <c r="D385" s="141" t="s">
        <v>89</v>
      </c>
      <c r="E385" s="144">
        <f>'[2]Formati 2 Politika Ekzistuese'!E614</f>
        <v>0</v>
      </c>
      <c r="F385" s="144">
        <f>'[2]Formati 2 Politika Ekzistuese'!F614</f>
        <v>0</v>
      </c>
      <c r="G385" s="144">
        <f>'[2]Formati 2 Politika Ekzistuese'!G614</f>
        <v>0</v>
      </c>
      <c r="H385" s="144">
        <f>'[2]Formati 2 Politika Ekzistuese'!H614</f>
        <v>0</v>
      </c>
    </row>
    <row r="386" spans="4:8" ht="15.75" thickBot="1" x14ac:dyDescent="0.3">
      <c r="D386" s="141" t="s">
        <v>90</v>
      </c>
      <c r="E386" s="144">
        <f>'[2]Formati 2 Politika Ekzistuese'!E617</f>
        <v>0</v>
      </c>
      <c r="F386" s="144">
        <f>'[2]Formati 2 Politika Ekzistuese'!F617</f>
        <v>0</v>
      </c>
      <c r="G386" s="144">
        <f>'[2]Formati 2 Politika Ekzistuese'!G617</f>
        <v>0</v>
      </c>
      <c r="H386" s="144">
        <f>'[2]Formati 2 Politika Ekzistuese'!H617</f>
        <v>0</v>
      </c>
    </row>
    <row r="387" spans="4:8" ht="15.75" thickBot="1" x14ac:dyDescent="0.3">
      <c r="D387" s="141" t="s">
        <v>91</v>
      </c>
      <c r="E387" s="144">
        <f>'[2]Formati 2 Politika Ekzistuese'!E620</f>
        <v>0</v>
      </c>
      <c r="F387" s="144">
        <v>0</v>
      </c>
      <c r="G387" s="144">
        <v>0</v>
      </c>
      <c r="H387" s="144">
        <v>0</v>
      </c>
    </row>
    <row r="388" spans="4:8" ht="15.75" thickBot="1" x14ac:dyDescent="0.3">
      <c r="D388" s="269" t="s">
        <v>177</v>
      </c>
      <c r="E388" s="272">
        <f>E387+E386+E385+E384+E383+E382+E381</f>
        <v>0</v>
      </c>
      <c r="F388" s="272">
        <f t="shared" ref="F388:H388" si="29">F387+F386+F385+F384+F383+F382+F381</f>
        <v>16701</v>
      </c>
      <c r="G388" s="272">
        <f t="shared" si="29"/>
        <v>16887</v>
      </c>
      <c r="H388" s="272">
        <f t="shared" si="29"/>
        <v>17079</v>
      </c>
    </row>
    <row r="389" spans="4:8" ht="15.75" thickBot="1" x14ac:dyDescent="0.3">
      <c r="D389" s="269" t="s">
        <v>93</v>
      </c>
      <c r="E389" s="272">
        <f>IF(E388-E373=0,0,"Error")</f>
        <v>0</v>
      </c>
      <c r="F389" s="272">
        <f>IF(F388-F373=0,0,"Error")</f>
        <v>0</v>
      </c>
      <c r="G389" s="272">
        <f t="shared" ref="G389:H389" si="30">IF(G388-G373=0,0,"Error")</f>
        <v>0</v>
      </c>
      <c r="H389" s="272">
        <f t="shared" si="30"/>
        <v>0</v>
      </c>
    </row>
    <row r="390" spans="4:8" ht="15.75" thickBot="1" x14ac:dyDescent="0.3">
      <c r="D390" s="428" t="s">
        <v>105</v>
      </c>
      <c r="E390" s="429"/>
      <c r="F390" s="429"/>
      <c r="G390" s="429"/>
      <c r="H390" s="430"/>
    </row>
    <row r="391" spans="4:8" ht="15.75" thickBot="1" x14ac:dyDescent="0.3">
      <c r="D391" s="428" t="s">
        <v>106</v>
      </c>
      <c r="E391" s="429"/>
      <c r="F391" s="429"/>
      <c r="G391" s="429"/>
      <c r="H391" s="430"/>
    </row>
    <row r="392" spans="4:8" ht="15.75" thickBot="1" x14ac:dyDescent="0.3">
      <c r="D392" s="19" t="s">
        <v>107</v>
      </c>
      <c r="E392" s="524" t="s">
        <v>453</v>
      </c>
      <c r="F392" s="525"/>
      <c r="G392" s="525"/>
      <c r="H392" s="526"/>
    </row>
    <row r="393" spans="4:8" ht="15.75" thickBot="1" x14ac:dyDescent="0.3">
      <c r="D393" s="139" t="s">
        <v>109</v>
      </c>
      <c r="E393" s="527" t="s">
        <v>454</v>
      </c>
      <c r="F393" s="528"/>
      <c r="G393" s="528"/>
      <c r="H393" s="529"/>
    </row>
    <row r="394" spans="4:8" ht="15.75" thickBot="1" x14ac:dyDescent="0.3">
      <c r="D394" s="19" t="s">
        <v>73</v>
      </c>
      <c r="E394" s="527" t="s">
        <v>455</v>
      </c>
      <c r="F394" s="528"/>
      <c r="G394" s="528"/>
      <c r="H394" s="529"/>
    </row>
    <row r="395" spans="4:8" ht="15.75" thickBot="1" x14ac:dyDescent="0.3">
      <c r="D395" s="19" t="s">
        <v>75</v>
      </c>
      <c r="E395" s="527" t="s">
        <v>264</v>
      </c>
      <c r="F395" s="528"/>
      <c r="G395" s="528"/>
      <c r="H395" s="529"/>
    </row>
    <row r="396" spans="4:8" x14ac:dyDescent="0.25">
      <c r="D396" s="350"/>
      <c r="E396" s="20">
        <v>2018</v>
      </c>
      <c r="F396" s="20">
        <v>2019</v>
      </c>
      <c r="G396" s="20">
        <v>2020</v>
      </c>
      <c r="H396" s="20">
        <v>2021</v>
      </c>
    </row>
    <row r="397" spans="4:8" ht="15.75" thickBot="1" x14ac:dyDescent="0.3">
      <c r="D397" s="351"/>
      <c r="E397" s="21" t="s">
        <v>42</v>
      </c>
      <c r="F397" s="21" t="s">
        <v>43</v>
      </c>
      <c r="G397" s="21" t="s">
        <v>43</v>
      </c>
      <c r="H397" s="21" t="s">
        <v>43</v>
      </c>
    </row>
    <row r="398" spans="4:8" ht="15.75" thickBot="1" x14ac:dyDescent="0.3">
      <c r="D398" s="19" t="s">
        <v>77</v>
      </c>
      <c r="E398" s="22">
        <v>1</v>
      </c>
      <c r="F398" s="22"/>
      <c r="G398" s="22"/>
      <c r="H398" s="22"/>
    </row>
    <row r="399" spans="4:8" ht="15.75" thickBot="1" x14ac:dyDescent="0.3">
      <c r="D399" s="19" t="s">
        <v>78</v>
      </c>
      <c r="E399" s="22">
        <v>3000</v>
      </c>
      <c r="F399" s="22"/>
      <c r="G399" s="22"/>
      <c r="H399" s="22"/>
    </row>
    <row r="400" spans="4:8" ht="15.75" thickBot="1" x14ac:dyDescent="0.3">
      <c r="D400" s="19" t="s">
        <v>79</v>
      </c>
      <c r="E400" s="22">
        <f>E399/E398</f>
        <v>3000</v>
      </c>
      <c r="F400" s="22" t="e">
        <f t="shared" ref="F400:H400" si="31">F399/F398</f>
        <v>#DIV/0!</v>
      </c>
      <c r="G400" s="22" t="e">
        <f t="shared" si="31"/>
        <v>#DIV/0!</v>
      </c>
      <c r="H400" s="22" t="e">
        <f t="shared" si="31"/>
        <v>#DIV/0!</v>
      </c>
    </row>
    <row r="401" spans="4:8" ht="15.75" thickBot="1" x14ac:dyDescent="0.3">
      <c r="D401" s="19" t="s">
        <v>80</v>
      </c>
      <c r="E401" s="260" t="s">
        <v>81</v>
      </c>
      <c r="F401" s="13">
        <f>F398/E398-1</f>
        <v>-1</v>
      </c>
      <c r="G401" s="13" t="e">
        <f t="shared" ref="G401:H403" si="32">G398/F398-1</f>
        <v>#DIV/0!</v>
      </c>
      <c r="H401" s="13" t="e">
        <f t="shared" si="32"/>
        <v>#DIV/0!</v>
      </c>
    </row>
    <row r="402" spans="4:8" ht="15.75" thickBot="1" x14ac:dyDescent="0.3">
      <c r="D402" s="19" t="s">
        <v>82</v>
      </c>
      <c r="E402" s="260" t="s">
        <v>81</v>
      </c>
      <c r="F402" s="13">
        <f>F399/E399-1</f>
        <v>-1</v>
      </c>
      <c r="G402" s="13" t="e">
        <f t="shared" si="32"/>
        <v>#DIV/0!</v>
      </c>
      <c r="H402" s="13" t="e">
        <f t="shared" si="32"/>
        <v>#DIV/0!</v>
      </c>
    </row>
    <row r="403" spans="4:8" ht="15.75" thickBot="1" x14ac:dyDescent="0.3">
      <c r="D403" s="19" t="s">
        <v>83</v>
      </c>
      <c r="E403" s="260" t="s">
        <v>81</v>
      </c>
      <c r="F403" s="13" t="e">
        <f>F400/E400-1</f>
        <v>#DIV/0!</v>
      </c>
      <c r="G403" s="13" t="e">
        <f t="shared" si="32"/>
        <v>#DIV/0!</v>
      </c>
      <c r="H403" s="13" t="e">
        <f t="shared" si="32"/>
        <v>#DIV/0!</v>
      </c>
    </row>
    <row r="404" spans="4:8" ht="15.75" thickBot="1" x14ac:dyDescent="0.3">
      <c r="D404" s="392" t="s">
        <v>84</v>
      </c>
      <c r="E404" s="393"/>
      <c r="F404" s="393"/>
      <c r="G404" s="393"/>
      <c r="H404" s="394"/>
    </row>
    <row r="405" spans="4:8" x14ac:dyDescent="0.25">
      <c r="D405" s="350"/>
      <c r="E405" s="20">
        <v>2018</v>
      </c>
      <c r="F405" s="20">
        <v>2019</v>
      </c>
      <c r="G405" s="20">
        <v>2020</v>
      </c>
      <c r="H405" s="20">
        <v>2021</v>
      </c>
    </row>
    <row r="406" spans="4:8" ht="15.75" thickBot="1" x14ac:dyDescent="0.3">
      <c r="D406" s="351"/>
      <c r="E406" s="21" t="s">
        <v>42</v>
      </c>
      <c r="F406" s="21" t="s">
        <v>43</v>
      </c>
      <c r="G406" s="21" t="s">
        <v>43</v>
      </c>
      <c r="H406" s="21" t="s">
        <v>43</v>
      </c>
    </row>
    <row r="407" spans="4:8" ht="15.75" thickBot="1" x14ac:dyDescent="0.3">
      <c r="D407" s="141" t="s">
        <v>170</v>
      </c>
      <c r="E407" s="142"/>
      <c r="F407" s="142"/>
      <c r="G407" s="142"/>
      <c r="H407" s="142"/>
    </row>
    <row r="408" spans="4:8" ht="15.75" thickBot="1" x14ac:dyDescent="0.3">
      <c r="D408" s="141" t="s">
        <v>113</v>
      </c>
      <c r="E408" s="144">
        <f>E399</f>
        <v>3000</v>
      </c>
      <c r="F408" s="142"/>
      <c r="G408" s="142"/>
      <c r="H408" s="142"/>
    </row>
    <row r="409" spans="4:8" ht="15.75" thickBot="1" x14ac:dyDescent="0.3">
      <c r="D409" s="269" t="s">
        <v>92</v>
      </c>
      <c r="E409" s="272">
        <f>E408+E407</f>
        <v>3000</v>
      </c>
      <c r="F409" s="272">
        <f t="shared" ref="F409:H409" si="33">F408+F407</f>
        <v>0</v>
      </c>
      <c r="G409" s="272">
        <f t="shared" si="33"/>
        <v>0</v>
      </c>
      <c r="H409" s="272">
        <f t="shared" si="33"/>
        <v>0</v>
      </c>
    </row>
    <row r="410" spans="4:8" x14ac:dyDescent="0.25">
      <c r="D410" s="355" t="s">
        <v>114</v>
      </c>
      <c r="E410" s="358" t="s">
        <v>456</v>
      </c>
      <c r="F410" s="359"/>
      <c r="G410" s="359"/>
      <c r="H410" s="360"/>
    </row>
    <row r="411" spans="4:8" x14ac:dyDescent="0.25">
      <c r="D411" s="356"/>
      <c r="E411" s="361"/>
      <c r="F411" s="362"/>
      <c r="G411" s="362"/>
      <c r="H411" s="363"/>
    </row>
    <row r="412" spans="4:8" ht="15.75" thickBot="1" x14ac:dyDescent="0.3">
      <c r="D412" s="357"/>
      <c r="E412" s="364"/>
      <c r="F412" s="365"/>
      <c r="G412" s="365"/>
      <c r="H412" s="366"/>
    </row>
    <row r="413" spans="4:8" ht="15.75" thickBot="1" x14ac:dyDescent="0.3">
      <c r="D413" s="428" t="s">
        <v>105</v>
      </c>
      <c r="E413" s="429"/>
      <c r="F413" s="429"/>
      <c r="G413" s="429"/>
      <c r="H413" s="430"/>
    </row>
    <row r="414" spans="4:8" ht="15.75" thickBot="1" x14ac:dyDescent="0.3">
      <c r="D414" s="428" t="s">
        <v>171</v>
      </c>
      <c r="E414" s="429"/>
      <c r="F414" s="429"/>
      <c r="G414" s="429"/>
      <c r="H414" s="430"/>
    </row>
    <row r="415" spans="4:8" ht="15.75" thickBot="1" x14ac:dyDescent="0.3">
      <c r="D415" s="19" t="s">
        <v>260</v>
      </c>
      <c r="E415" s="524" t="s">
        <v>453</v>
      </c>
      <c r="F415" s="525"/>
      <c r="G415" s="525"/>
      <c r="H415" s="526"/>
    </row>
    <row r="416" spans="4:8" ht="15.75" thickBot="1" x14ac:dyDescent="0.3">
      <c r="D416" s="139" t="s">
        <v>109</v>
      </c>
      <c r="E416" s="530" t="s">
        <v>457</v>
      </c>
      <c r="F416" s="531"/>
      <c r="G416" s="531"/>
      <c r="H416" s="532"/>
    </row>
    <row r="417" spans="4:8" ht="15.75" thickBot="1" x14ac:dyDescent="0.3">
      <c r="D417" s="19" t="s">
        <v>73</v>
      </c>
      <c r="E417" s="530" t="s">
        <v>457</v>
      </c>
      <c r="F417" s="531"/>
      <c r="G417" s="531"/>
      <c r="H417" s="532"/>
    </row>
    <row r="418" spans="4:8" ht="15.75" thickBot="1" x14ac:dyDescent="0.3">
      <c r="D418" s="19" t="s">
        <v>75</v>
      </c>
      <c r="E418" s="530" t="s">
        <v>264</v>
      </c>
      <c r="F418" s="531"/>
      <c r="G418" s="531"/>
      <c r="H418" s="532"/>
    </row>
    <row r="419" spans="4:8" x14ac:dyDescent="0.25">
      <c r="D419" s="350"/>
      <c r="E419" s="20">
        <v>2018</v>
      </c>
      <c r="F419" s="20">
        <v>2019</v>
      </c>
      <c r="G419" s="20">
        <v>2020</v>
      </c>
      <c r="H419" s="20">
        <v>2021</v>
      </c>
    </row>
    <row r="420" spans="4:8" ht="15.75" thickBot="1" x14ac:dyDescent="0.3">
      <c r="D420" s="351"/>
      <c r="E420" s="21" t="s">
        <v>42</v>
      </c>
      <c r="F420" s="21" t="s">
        <v>43</v>
      </c>
      <c r="G420" s="21" t="s">
        <v>43</v>
      </c>
      <c r="H420" s="21" t="s">
        <v>43</v>
      </c>
    </row>
    <row r="421" spans="4:8" ht="15.75" thickBot="1" x14ac:dyDescent="0.3">
      <c r="D421" s="19" t="s">
        <v>77</v>
      </c>
      <c r="E421" s="22">
        <v>1</v>
      </c>
      <c r="F421" s="22"/>
      <c r="G421" s="22"/>
      <c r="H421" s="22"/>
    </row>
    <row r="422" spans="4:8" ht="15.75" thickBot="1" x14ac:dyDescent="0.3">
      <c r="D422" s="19" t="s">
        <v>78</v>
      </c>
      <c r="E422" s="22">
        <v>10000</v>
      </c>
      <c r="F422" s="22"/>
      <c r="G422" s="22"/>
      <c r="H422" s="22"/>
    </row>
    <row r="423" spans="4:8" ht="15.75" thickBot="1" x14ac:dyDescent="0.3">
      <c r="D423" s="19" t="s">
        <v>79</v>
      </c>
      <c r="E423" s="22">
        <f>E422/E421</f>
        <v>10000</v>
      </c>
      <c r="F423" s="22" t="e">
        <f t="shared" ref="F423:H423" si="34">F422/F421</f>
        <v>#DIV/0!</v>
      </c>
      <c r="G423" s="22" t="e">
        <f t="shared" si="34"/>
        <v>#DIV/0!</v>
      </c>
      <c r="H423" s="22" t="e">
        <f t="shared" si="34"/>
        <v>#DIV/0!</v>
      </c>
    </row>
    <row r="424" spans="4:8" ht="15.75" thickBot="1" x14ac:dyDescent="0.3">
      <c r="D424" s="19" t="s">
        <v>80</v>
      </c>
      <c r="E424" s="260" t="s">
        <v>81</v>
      </c>
      <c r="F424" s="13">
        <f>F421/E421-1</f>
        <v>-1</v>
      </c>
      <c r="G424" s="13" t="e">
        <f t="shared" ref="G424:H426" si="35">G421/F421-1</f>
        <v>#DIV/0!</v>
      </c>
      <c r="H424" s="13" t="e">
        <f t="shared" si="35"/>
        <v>#DIV/0!</v>
      </c>
    </row>
    <row r="425" spans="4:8" ht="15.75" thickBot="1" x14ac:dyDescent="0.3">
      <c r="D425" s="19" t="s">
        <v>82</v>
      </c>
      <c r="E425" s="260" t="s">
        <v>81</v>
      </c>
      <c r="F425" s="13">
        <f>F422/E422-1</f>
        <v>-1</v>
      </c>
      <c r="G425" s="13" t="e">
        <f t="shared" si="35"/>
        <v>#DIV/0!</v>
      </c>
      <c r="H425" s="13" t="e">
        <f t="shared" si="35"/>
        <v>#DIV/0!</v>
      </c>
    </row>
    <row r="426" spans="4:8" ht="15.75" thickBot="1" x14ac:dyDescent="0.3">
      <c r="D426" s="19" t="s">
        <v>83</v>
      </c>
      <c r="E426" s="260" t="s">
        <v>81</v>
      </c>
      <c r="F426" s="13" t="e">
        <f>F423/E423-1</f>
        <v>#DIV/0!</v>
      </c>
      <c r="G426" s="13" t="e">
        <f t="shared" si="35"/>
        <v>#DIV/0!</v>
      </c>
      <c r="H426" s="13" t="e">
        <f t="shared" si="35"/>
        <v>#DIV/0!</v>
      </c>
    </row>
    <row r="427" spans="4:8" ht="15.75" thickBot="1" x14ac:dyDescent="0.3">
      <c r="D427" s="392" t="s">
        <v>84</v>
      </c>
      <c r="E427" s="393"/>
      <c r="F427" s="393"/>
      <c r="G427" s="393"/>
      <c r="H427" s="394"/>
    </row>
    <row r="428" spans="4:8" x14ac:dyDescent="0.25">
      <c r="D428" s="350"/>
      <c r="E428" s="20">
        <v>2018</v>
      </c>
      <c r="F428" s="20">
        <v>2019</v>
      </c>
      <c r="G428" s="20">
        <v>2020</v>
      </c>
      <c r="H428" s="20">
        <v>2021</v>
      </c>
    </row>
    <row r="429" spans="4:8" ht="15.75" thickBot="1" x14ac:dyDescent="0.3">
      <c r="D429" s="351"/>
      <c r="E429" s="21" t="s">
        <v>42</v>
      </c>
      <c r="F429" s="21" t="s">
        <v>43</v>
      </c>
      <c r="G429" s="21" t="s">
        <v>43</v>
      </c>
      <c r="H429" s="21" t="s">
        <v>43</v>
      </c>
    </row>
    <row r="430" spans="4:8" ht="15.75" thickBot="1" x14ac:dyDescent="0.3">
      <c r="D430" s="141" t="s">
        <v>170</v>
      </c>
      <c r="E430" s="142">
        <f>E422</f>
        <v>10000</v>
      </c>
      <c r="F430" s="142"/>
      <c r="G430" s="142"/>
      <c r="H430" s="142"/>
    </row>
    <row r="431" spans="4:8" ht="15.75" thickBot="1" x14ac:dyDescent="0.3">
      <c r="D431" s="141" t="s">
        <v>113</v>
      </c>
      <c r="E431" s="144"/>
      <c r="F431" s="142"/>
      <c r="G431" s="142"/>
      <c r="H431" s="142"/>
    </row>
    <row r="432" spans="4:8" ht="15.75" thickBot="1" x14ac:dyDescent="0.3">
      <c r="D432" s="270" t="s">
        <v>92</v>
      </c>
      <c r="E432" s="272">
        <f>E431+E430</f>
        <v>10000</v>
      </c>
      <c r="F432" s="272">
        <f t="shared" ref="F432:H432" si="36">F431+F430</f>
        <v>0</v>
      </c>
      <c r="G432" s="272">
        <f t="shared" si="36"/>
        <v>0</v>
      </c>
      <c r="H432" s="272">
        <f t="shared" si="36"/>
        <v>0</v>
      </c>
    </row>
    <row r="433" spans="4:8" ht="15.75" thickBot="1" x14ac:dyDescent="0.3">
      <c r="D433" s="273"/>
      <c r="E433" s="274"/>
      <c r="F433" s="274"/>
      <c r="G433" s="274"/>
      <c r="H433" s="274"/>
    </row>
    <row r="434" spans="4:8" ht="24.75" thickBot="1" x14ac:dyDescent="0.3">
      <c r="D434" s="51" t="s">
        <v>122</v>
      </c>
      <c r="E434" s="78">
        <f>E422+E399+E373+E350+E325+E305+E282+E262+E217+E166+E134+E102+E79+E56+E33</f>
        <v>144300</v>
      </c>
      <c r="F434" s="78">
        <f t="shared" ref="F434:H434" si="37">F422+F399+F373+F350+F325+F305+F282+F262+F217+F166+F134+F102+F79+F56+F33</f>
        <v>338632</v>
      </c>
      <c r="G434" s="78">
        <f t="shared" si="37"/>
        <v>338631.97</v>
      </c>
      <c r="H434" s="78">
        <f t="shared" si="37"/>
        <v>342292.3591</v>
      </c>
    </row>
    <row r="435" spans="4:8" ht="24.75" thickBot="1" x14ac:dyDescent="0.3">
      <c r="D435" s="51" t="s">
        <v>123</v>
      </c>
      <c r="E435" s="78">
        <f>E437+E439+E441+E443+E445+E447+E449+E451+E453</f>
        <v>144300</v>
      </c>
      <c r="F435" s="78">
        <f>F437+F439+F441+F443+F445+F447+F449+F451+F453</f>
        <v>338632</v>
      </c>
      <c r="G435" s="78">
        <f>G437+G439+G441+G443+G445+G447+G449+G451+G453</f>
        <v>338631.97</v>
      </c>
      <c r="H435" s="78">
        <f>H437+H439+H441+H443+H445+H447+H449+H451+H453</f>
        <v>342292.3591</v>
      </c>
    </row>
    <row r="436" spans="4:8" ht="24.75" thickBot="1" x14ac:dyDescent="0.3">
      <c r="D436" s="79" t="s">
        <v>124</v>
      </c>
      <c r="E436" s="80"/>
      <c r="F436" s="81">
        <f>F435/E435-1</f>
        <v>1.3467221067221069</v>
      </c>
      <c r="G436" s="81">
        <f>G435/F435-1</f>
        <v>-8.8591745717181425E-8</v>
      </c>
      <c r="H436" s="81">
        <f>H435/G435-1</f>
        <v>1.080934295719338E-2</v>
      </c>
    </row>
    <row r="437" spans="4:8" ht="15.75" thickBot="1" x14ac:dyDescent="0.3">
      <c r="D437" s="24" t="s">
        <v>85</v>
      </c>
      <c r="E437" s="25">
        <f>E381+E358+E227+E174+E144+E110+E87+E64+E41</f>
        <v>38130</v>
      </c>
      <c r="F437" s="25">
        <f t="shared" ref="F437:H437" si="38">F381+F358+F227+F174+F144+F110+F87+F64+F41</f>
        <v>108462</v>
      </c>
      <c r="G437" s="25">
        <f t="shared" si="38"/>
        <v>108462</v>
      </c>
      <c r="H437" s="25">
        <f t="shared" si="38"/>
        <v>108462</v>
      </c>
    </row>
    <row r="438" spans="4:8" ht="15.75" thickBot="1" x14ac:dyDescent="0.3">
      <c r="D438" s="82" t="s">
        <v>125</v>
      </c>
      <c r="E438" s="26"/>
      <c r="F438" s="83">
        <f>F437/E437-1</f>
        <v>1.8445318646734856</v>
      </c>
      <c r="G438" s="83">
        <f>G437/F437-1</f>
        <v>0</v>
      </c>
      <c r="H438" s="83">
        <f>H437/G437-1</f>
        <v>0</v>
      </c>
    </row>
    <row r="439" spans="4:8" ht="15.75" thickBot="1" x14ac:dyDescent="0.3">
      <c r="D439" s="24" t="s">
        <v>86</v>
      </c>
      <c r="E439" s="25">
        <f>E382+E359+E230+E177+E145+E111+E88+E65+E42</f>
        <v>7091</v>
      </c>
      <c r="F439" s="25">
        <f t="shared" ref="F439:H439" si="39">F382+F359+F230+F177+F145+F111+F88+F65+F42</f>
        <v>19091</v>
      </c>
      <c r="G439" s="25">
        <f t="shared" si="39"/>
        <v>19091</v>
      </c>
      <c r="H439" s="25">
        <f t="shared" si="39"/>
        <v>19091</v>
      </c>
    </row>
    <row r="440" spans="4:8" ht="24.75" thickBot="1" x14ac:dyDescent="0.3">
      <c r="D440" s="82" t="s">
        <v>126</v>
      </c>
      <c r="E440" s="26"/>
      <c r="F440" s="83">
        <f>F439/E439-1</f>
        <v>1.6922859963333803</v>
      </c>
      <c r="G440" s="83">
        <f>G439/F439-1</f>
        <v>0</v>
      </c>
      <c r="H440" s="83">
        <f>H439/G439-1</f>
        <v>0</v>
      </c>
    </row>
    <row r="441" spans="4:8" ht="15.75" thickBot="1" x14ac:dyDescent="0.3">
      <c r="D441" s="24" t="s">
        <v>87</v>
      </c>
      <c r="E441" s="25">
        <f>E383+E360+E233+E180+E146+E112+E89+E66+E43</f>
        <v>23079</v>
      </c>
      <c r="F441" s="25">
        <f t="shared" ref="F441:H441" si="40">F383+F360+F233+F180+F146+F112+F89+F66+F43</f>
        <v>94979</v>
      </c>
      <c r="G441" s="25">
        <f t="shared" si="40"/>
        <v>97045.97</v>
      </c>
      <c r="H441" s="25">
        <f t="shared" si="40"/>
        <v>99175.369099999996</v>
      </c>
    </row>
    <row r="442" spans="4:8" ht="15.75" thickBot="1" x14ac:dyDescent="0.3">
      <c r="D442" s="82" t="s">
        <v>127</v>
      </c>
      <c r="E442" s="26"/>
      <c r="F442" s="83">
        <f>F441/E441-1</f>
        <v>3.1153862819012952</v>
      </c>
      <c r="G442" s="83">
        <f>G441/F441-1</f>
        <v>2.1762389580854746E-2</v>
      </c>
      <c r="H442" s="83">
        <f>H441/G441-1</f>
        <v>2.1942169262670008E-2</v>
      </c>
    </row>
    <row r="443" spans="4:8" ht="15.75" thickBot="1" x14ac:dyDescent="0.3">
      <c r="D443" s="24" t="s">
        <v>88</v>
      </c>
      <c r="E443" s="25">
        <f>E384+E361+E236+E183+E147+E113+E90+E67+E44</f>
        <v>0</v>
      </c>
      <c r="F443" s="25">
        <f t="shared" ref="F443:H443" si="41">F384+F361+F236+F183+F147+F113+F90+F67+F44</f>
        <v>0</v>
      </c>
      <c r="G443" s="25">
        <f t="shared" si="41"/>
        <v>0</v>
      </c>
      <c r="H443" s="25">
        <f t="shared" si="41"/>
        <v>0</v>
      </c>
    </row>
    <row r="444" spans="4:8" ht="15.75" thickBot="1" x14ac:dyDescent="0.3">
      <c r="D444" s="82" t="s">
        <v>231</v>
      </c>
      <c r="E444" s="26"/>
      <c r="F444" s="83" t="e">
        <f>F443/E443-1</f>
        <v>#DIV/0!</v>
      </c>
      <c r="G444" s="83" t="e">
        <f>G443/F443-1</f>
        <v>#DIV/0!</v>
      </c>
      <c r="H444" s="83" t="e">
        <f>H443/G443-1</f>
        <v>#DIV/0!</v>
      </c>
    </row>
    <row r="445" spans="4:8" ht="15.75" thickBot="1" x14ac:dyDescent="0.3">
      <c r="D445" s="24" t="s">
        <v>89</v>
      </c>
      <c r="E445" s="25">
        <f>E385+E362+E239+E186+E148</f>
        <v>0</v>
      </c>
      <c r="F445" s="25">
        <f t="shared" ref="F445:H445" si="42">F385+F362+F239+F186+F148</f>
        <v>53100</v>
      </c>
      <c r="G445" s="25">
        <f t="shared" si="42"/>
        <v>51033</v>
      </c>
      <c r="H445" s="25">
        <f t="shared" si="42"/>
        <v>52563.99</v>
      </c>
    </row>
    <row r="446" spans="4:8" ht="15.75" thickBot="1" x14ac:dyDescent="0.3">
      <c r="D446" s="82" t="s">
        <v>232</v>
      </c>
      <c r="E446" s="26"/>
      <c r="F446" s="83" t="e">
        <f>F445/E445-1</f>
        <v>#DIV/0!</v>
      </c>
      <c r="G446" s="83">
        <f>G445/F445-1</f>
        <v>-3.8926553672316344E-2</v>
      </c>
      <c r="H446" s="83">
        <f>H445/G445-1</f>
        <v>3.0000000000000027E-2</v>
      </c>
    </row>
    <row r="447" spans="4:8" ht="15.75" thickBot="1" x14ac:dyDescent="0.3">
      <c r="D447" s="24" t="s">
        <v>90</v>
      </c>
      <c r="E447" s="25">
        <v>0</v>
      </c>
      <c r="F447" s="25">
        <v>0</v>
      </c>
      <c r="G447" s="25">
        <v>0</v>
      </c>
      <c r="H447" s="25">
        <v>0</v>
      </c>
    </row>
    <row r="448" spans="4:8" ht="15.75" thickBot="1" x14ac:dyDescent="0.3">
      <c r="D448" s="82" t="s">
        <v>233</v>
      </c>
      <c r="E448" s="26"/>
      <c r="F448" s="83" t="e">
        <f>F447/E447-1</f>
        <v>#DIV/0!</v>
      </c>
      <c r="G448" s="83" t="e">
        <f>G447/F447-1</f>
        <v>#DIV/0!</v>
      </c>
      <c r="H448" s="83" t="e">
        <f>H447/G447-1</f>
        <v>#DIV/0!</v>
      </c>
    </row>
    <row r="449" spans="4:8" ht="15.75" thickBot="1" x14ac:dyDescent="0.3">
      <c r="D449" s="24" t="s">
        <v>91</v>
      </c>
      <c r="E449" s="25">
        <v>0</v>
      </c>
      <c r="F449" s="25">
        <v>0</v>
      </c>
      <c r="G449" s="25">
        <v>0</v>
      </c>
      <c r="H449" s="25">
        <v>0</v>
      </c>
    </row>
    <row r="450" spans="4:8" ht="24.75" thickBot="1" x14ac:dyDescent="0.3">
      <c r="D450" s="82" t="s">
        <v>234</v>
      </c>
      <c r="E450" s="26"/>
      <c r="F450" s="83" t="e">
        <f>F449/E449-1</f>
        <v>#DIV/0!</v>
      </c>
      <c r="G450" s="83" t="e">
        <f>G449/F449-1</f>
        <v>#DIV/0!</v>
      </c>
      <c r="H450" s="83" t="e">
        <f>H449/G449-1</f>
        <v>#DIV/0!</v>
      </c>
    </row>
    <row r="451" spans="4:8" ht="15.75" thickBot="1" x14ac:dyDescent="0.3">
      <c r="D451" s="24" t="s">
        <v>128</v>
      </c>
      <c r="E451" s="25">
        <f>E430+E407+E290</f>
        <v>25000</v>
      </c>
      <c r="F451" s="25">
        <f t="shared" ref="F451:H451" si="43">F430+F407+F290</f>
        <v>15000</v>
      </c>
      <c r="G451" s="25">
        <f t="shared" si="43"/>
        <v>15000</v>
      </c>
      <c r="H451" s="25">
        <f t="shared" si="43"/>
        <v>15000</v>
      </c>
    </row>
    <row r="452" spans="4:8" ht="15.75" thickBot="1" x14ac:dyDescent="0.3">
      <c r="D452" s="82" t="s">
        <v>129</v>
      </c>
      <c r="E452" s="26"/>
      <c r="F452" s="83">
        <f>F451/E451-1</f>
        <v>-0.4</v>
      </c>
      <c r="G452" s="83">
        <f>G451/F451-1</f>
        <v>0</v>
      </c>
      <c r="H452" s="83">
        <f>H451/G451-1</f>
        <v>0</v>
      </c>
    </row>
    <row r="453" spans="4:8" ht="15.75" thickBot="1" x14ac:dyDescent="0.3">
      <c r="D453" s="24" t="s">
        <v>235</v>
      </c>
      <c r="E453" s="25">
        <f>E408+E333+E313+E291+E270</f>
        <v>51000</v>
      </c>
      <c r="F453" s="25">
        <f t="shared" ref="F453:H453" si="44">F408+F333+F313+F291+F270</f>
        <v>48000</v>
      </c>
      <c r="G453" s="25">
        <f t="shared" si="44"/>
        <v>48000</v>
      </c>
      <c r="H453" s="25">
        <f t="shared" si="44"/>
        <v>48000</v>
      </c>
    </row>
    <row r="454" spans="4:8" ht="15.75" thickBot="1" x14ac:dyDescent="0.3">
      <c r="D454" s="82" t="s">
        <v>236</v>
      </c>
      <c r="E454" s="26"/>
      <c r="F454" s="83">
        <f>F453/E453-1</f>
        <v>-5.8823529411764719E-2</v>
      </c>
      <c r="G454" s="83">
        <f>G453/F453-1</f>
        <v>0</v>
      </c>
      <c r="H454" s="83">
        <f>H453/G453-1</f>
        <v>0</v>
      </c>
    </row>
  </sheetData>
  <mergeCells count="148">
    <mergeCell ref="D427:H427"/>
    <mergeCell ref="D428:D429"/>
    <mergeCell ref="D414:H414"/>
    <mergeCell ref="E415:H415"/>
    <mergeCell ref="E416:H416"/>
    <mergeCell ref="E417:H417"/>
    <mergeCell ref="E418:H418"/>
    <mergeCell ref="D419:D420"/>
    <mergeCell ref="D413:H413"/>
    <mergeCell ref="D404:H404"/>
    <mergeCell ref="D405:D406"/>
    <mergeCell ref="D410:D412"/>
    <mergeCell ref="E410:H412"/>
    <mergeCell ref="D391:H391"/>
    <mergeCell ref="E392:H392"/>
    <mergeCell ref="E393:H393"/>
    <mergeCell ref="E394:H394"/>
    <mergeCell ref="E395:H395"/>
    <mergeCell ref="D396:D397"/>
    <mergeCell ref="E369:H369"/>
    <mergeCell ref="D371:D372"/>
    <mergeCell ref="D378:H378"/>
    <mergeCell ref="D379:D380"/>
    <mergeCell ref="D390:H390"/>
    <mergeCell ref="E345:H345"/>
    <mergeCell ref="E346:H346"/>
    <mergeCell ref="D347:D348"/>
    <mergeCell ref="D355:H355"/>
    <mergeCell ref="D356:D357"/>
    <mergeCell ref="E367:H367"/>
    <mergeCell ref="D311:D312"/>
    <mergeCell ref="E298:H298"/>
    <mergeCell ref="E299:H299"/>
    <mergeCell ref="E338:H338"/>
    <mergeCell ref="D339:H339"/>
    <mergeCell ref="D342:H342"/>
    <mergeCell ref="D343:H343"/>
    <mergeCell ref="E344:H344"/>
    <mergeCell ref="E368:H368"/>
    <mergeCell ref="E153:H153"/>
    <mergeCell ref="D154:H154"/>
    <mergeCell ref="D207:H207"/>
    <mergeCell ref="D330:H330"/>
    <mergeCell ref="D331:D332"/>
    <mergeCell ref="D335:D337"/>
    <mergeCell ref="E335:H337"/>
    <mergeCell ref="D225:D226"/>
    <mergeCell ref="D249:D251"/>
    <mergeCell ref="E249:H251"/>
    <mergeCell ref="D254:H254"/>
    <mergeCell ref="E258:H258"/>
    <mergeCell ref="D259:D260"/>
    <mergeCell ref="E318:H318"/>
    <mergeCell ref="E319:H319"/>
    <mergeCell ref="E320:H320"/>
    <mergeCell ref="D315:D317"/>
    <mergeCell ref="E315:H317"/>
    <mergeCell ref="E321:H321"/>
    <mergeCell ref="D322:D323"/>
    <mergeCell ref="E300:H300"/>
    <mergeCell ref="E301:H301"/>
    <mergeCell ref="D302:D303"/>
    <mergeCell ref="D310:H310"/>
    <mergeCell ref="D287:H287"/>
    <mergeCell ref="D288:D289"/>
    <mergeCell ref="D293:D296"/>
    <mergeCell ref="E293:H296"/>
    <mergeCell ref="E275:H275"/>
    <mergeCell ref="E276:H276"/>
    <mergeCell ref="E277:H277"/>
    <mergeCell ref="D272:D274"/>
    <mergeCell ref="E272:H274"/>
    <mergeCell ref="E278:H278"/>
    <mergeCell ref="D279:D280"/>
    <mergeCell ref="E257:H257"/>
    <mergeCell ref="D267:H267"/>
    <mergeCell ref="D268:D269"/>
    <mergeCell ref="D253:H253"/>
    <mergeCell ref="E255:H255"/>
    <mergeCell ref="E211:H211"/>
    <mergeCell ref="E212:H212"/>
    <mergeCell ref="E213:H213"/>
    <mergeCell ref="D214:D215"/>
    <mergeCell ref="D222:D223"/>
    <mergeCell ref="D224:H224"/>
    <mergeCell ref="D209:D210"/>
    <mergeCell ref="E160:H160"/>
    <mergeCell ref="E161:H161"/>
    <mergeCell ref="E162:H162"/>
    <mergeCell ref="D163:D164"/>
    <mergeCell ref="D171:H171"/>
    <mergeCell ref="D158:H158"/>
    <mergeCell ref="D159:H159"/>
    <mergeCell ref="E256:H256"/>
    <mergeCell ref="D172:D173"/>
    <mergeCell ref="D196:D198"/>
    <mergeCell ref="E196:H198"/>
    <mergeCell ref="E200:H200"/>
    <mergeCell ref="D201:H201"/>
    <mergeCell ref="D208:H208"/>
    <mergeCell ref="D131:D132"/>
    <mergeCell ref="D139:D140"/>
    <mergeCell ref="D141:H141"/>
    <mergeCell ref="D142:D143"/>
    <mergeCell ref="D124:H124"/>
    <mergeCell ref="D125:H125"/>
    <mergeCell ref="D126:D127"/>
    <mergeCell ref="E128:H128"/>
    <mergeCell ref="E129:H129"/>
    <mergeCell ref="E130:H130"/>
    <mergeCell ref="E119:H119"/>
    <mergeCell ref="D120:H120"/>
    <mergeCell ref="E96:H96"/>
    <mergeCell ref="E97:H97"/>
    <mergeCell ref="E98:H98"/>
    <mergeCell ref="D99:D100"/>
    <mergeCell ref="D107:H107"/>
    <mergeCell ref="D108:D109"/>
    <mergeCell ref="E73:H73"/>
    <mergeCell ref="E74:H74"/>
    <mergeCell ref="E75:H75"/>
    <mergeCell ref="D77:D78"/>
    <mergeCell ref="D84:H84"/>
    <mergeCell ref="D85:D86"/>
    <mergeCell ref="E50:H50"/>
    <mergeCell ref="E51:H51"/>
    <mergeCell ref="E52:H52"/>
    <mergeCell ref="D54:D55"/>
    <mergeCell ref="D61:H61"/>
    <mergeCell ref="D62:D63"/>
    <mergeCell ref="E27:H27"/>
    <mergeCell ref="E28:H28"/>
    <mergeCell ref="E29:H29"/>
    <mergeCell ref="D30:D31"/>
    <mergeCell ref="D38:H38"/>
    <mergeCell ref="D39:D40"/>
    <mergeCell ref="E12:H12"/>
    <mergeCell ref="D13:D14"/>
    <mergeCell ref="E19:H19"/>
    <mergeCell ref="D20:H20"/>
    <mergeCell ref="D25:H25"/>
    <mergeCell ref="D26:H26"/>
    <mergeCell ref="D2:H2"/>
    <mergeCell ref="E5:H5"/>
    <mergeCell ref="E6:H6"/>
    <mergeCell ref="E7:H7"/>
    <mergeCell ref="D8:H8"/>
    <mergeCell ref="D9:H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I434"/>
  <sheetViews>
    <sheetView topLeftCell="A427" zoomScale="140" zoomScaleNormal="140" workbookViewId="0">
      <selection activeCell="H398" sqref="H398"/>
    </sheetView>
  </sheetViews>
  <sheetFormatPr defaultRowHeight="15" x14ac:dyDescent="0.25"/>
  <cols>
    <col min="2" max="3" width="0" hidden="1" customWidth="1"/>
    <col min="5" max="5" width="35" customWidth="1"/>
    <col min="6" max="8" width="21.42578125" customWidth="1"/>
    <col min="9" max="9" width="31.7109375" customWidth="1"/>
  </cols>
  <sheetData>
    <row r="2" spans="5:9" x14ac:dyDescent="0.25">
      <c r="E2" s="376" t="s">
        <v>33</v>
      </c>
      <c r="F2" s="376"/>
      <c r="G2" s="376"/>
      <c r="H2" s="376"/>
      <c r="I2" s="376"/>
    </row>
    <row r="3" spans="5:9" ht="15.75" thickBot="1" x14ac:dyDescent="0.3"/>
    <row r="4" spans="5:9" ht="15.75" thickBot="1" x14ac:dyDescent="0.3">
      <c r="E4" s="9" t="s">
        <v>34</v>
      </c>
      <c r="F4" s="533" t="s">
        <v>459</v>
      </c>
      <c r="G4" s="533"/>
      <c r="H4" s="533"/>
      <c r="I4" s="533"/>
    </row>
    <row r="5" spans="5:9" ht="15.75" thickBot="1" x14ac:dyDescent="0.3">
      <c r="E5" s="9" t="s">
        <v>6</v>
      </c>
      <c r="F5" s="309" t="s">
        <v>460</v>
      </c>
      <c r="G5" s="310"/>
      <c r="H5" s="310"/>
      <c r="I5" s="311"/>
    </row>
    <row r="6" spans="5:9" ht="15.75" thickBot="1" x14ac:dyDescent="0.3">
      <c r="E6" s="9" t="s">
        <v>36</v>
      </c>
      <c r="F6" s="312" t="s">
        <v>37</v>
      </c>
      <c r="G6" s="313"/>
      <c r="H6" s="313"/>
      <c r="I6" s="314"/>
    </row>
    <row r="7" spans="5:9" ht="15.75" thickBot="1" x14ac:dyDescent="0.3">
      <c r="E7" s="315" t="s">
        <v>7</v>
      </c>
      <c r="F7" s="316"/>
      <c r="G7" s="316"/>
      <c r="H7" s="316"/>
      <c r="I7" s="317"/>
    </row>
    <row r="8" spans="5:9" ht="15.75" thickBot="1" x14ac:dyDescent="0.3">
      <c r="E8" s="534" t="s">
        <v>459</v>
      </c>
      <c r="F8" s="535"/>
      <c r="G8" s="535"/>
      <c r="H8" s="535"/>
      <c r="I8" s="536"/>
    </row>
    <row r="9" spans="5:9" ht="15.75" thickBot="1" x14ac:dyDescent="0.3">
      <c r="E9" s="534"/>
      <c r="F9" s="535"/>
      <c r="G9" s="535"/>
      <c r="H9" s="535"/>
      <c r="I9" s="536"/>
    </row>
    <row r="10" spans="5:9" ht="15.75" thickBot="1" x14ac:dyDescent="0.3">
      <c r="E10" s="534"/>
      <c r="F10" s="535"/>
      <c r="G10" s="535"/>
      <c r="H10" s="535"/>
      <c r="I10" s="536"/>
    </row>
    <row r="11" spans="5:9" ht="23.25" customHeight="1" thickBot="1" x14ac:dyDescent="0.3">
      <c r="E11" s="10" t="s">
        <v>39</v>
      </c>
      <c r="F11" s="371" t="s">
        <v>477</v>
      </c>
      <c r="G11" s="345"/>
      <c r="H11" s="345"/>
      <c r="I11" s="346"/>
    </row>
    <row r="12" spans="5:9" x14ac:dyDescent="0.25">
      <c r="E12" s="350" t="s">
        <v>139</v>
      </c>
      <c r="F12" s="47">
        <v>2018</v>
      </c>
      <c r="G12" s="47">
        <v>2019</v>
      </c>
      <c r="H12" s="47">
        <v>2020</v>
      </c>
      <c r="I12" s="47">
        <v>2021</v>
      </c>
    </row>
    <row r="13" spans="5:9" ht="15.75" thickBot="1" x14ac:dyDescent="0.3">
      <c r="E13" s="351"/>
      <c r="F13" s="48" t="s">
        <v>42</v>
      </c>
      <c r="G13" s="48" t="s">
        <v>43</v>
      </c>
      <c r="H13" s="48" t="s">
        <v>43</v>
      </c>
      <c r="I13" s="48" t="s">
        <v>43</v>
      </c>
    </row>
    <row r="14" spans="5:9" ht="40.5" customHeight="1" thickBot="1" x14ac:dyDescent="0.3">
      <c r="E14" s="177" t="s">
        <v>478</v>
      </c>
      <c r="F14" s="14">
        <v>0.56000000000000005</v>
      </c>
      <c r="G14" s="14">
        <v>0.56000000000000005</v>
      </c>
      <c r="H14" s="14">
        <v>0.56000000000000005</v>
      </c>
      <c r="I14" s="14">
        <v>0.56000000000000005</v>
      </c>
    </row>
    <row r="15" spans="5:9" ht="15.75" thickBot="1" x14ac:dyDescent="0.3">
      <c r="E15" s="19" t="s">
        <v>479</v>
      </c>
      <c r="F15" s="14">
        <v>0.44</v>
      </c>
      <c r="G15" s="14">
        <v>0.44</v>
      </c>
      <c r="H15" s="14">
        <v>0.44</v>
      </c>
      <c r="I15" s="14">
        <v>0.44</v>
      </c>
    </row>
    <row r="16" spans="5:9" ht="23.25" thickBot="1" x14ac:dyDescent="0.3">
      <c r="E16" s="19" t="s">
        <v>489</v>
      </c>
      <c r="F16" s="14">
        <v>1</v>
      </c>
      <c r="G16" s="14">
        <v>1</v>
      </c>
      <c r="H16" s="14">
        <v>1</v>
      </c>
      <c r="I16" s="14">
        <v>1</v>
      </c>
    </row>
    <row r="17" spans="5:9" ht="15.75" thickBot="1" x14ac:dyDescent="0.3">
      <c r="E17" s="303" t="s">
        <v>69</v>
      </c>
      <c r="F17" s="304"/>
      <c r="G17" s="304"/>
      <c r="H17" s="304"/>
      <c r="I17" s="305"/>
    </row>
    <row r="18" spans="5:9" ht="15.75" thickBot="1" x14ac:dyDescent="0.3">
      <c r="E18" s="341" t="s">
        <v>70</v>
      </c>
      <c r="F18" s="342"/>
      <c r="G18" s="342"/>
      <c r="H18" s="342"/>
      <c r="I18" s="343"/>
    </row>
    <row r="19" spans="5:9" ht="15.75" thickBot="1" x14ac:dyDescent="0.3">
      <c r="E19" s="18" t="s">
        <v>71</v>
      </c>
      <c r="F19" s="370"/>
      <c r="G19" s="371"/>
      <c r="H19" s="371"/>
      <c r="I19" s="372"/>
    </row>
    <row r="20" spans="5:9" ht="15.75" thickBot="1" x14ac:dyDescent="0.3">
      <c r="E20" s="19" t="s">
        <v>73</v>
      </c>
      <c r="F20" s="335"/>
      <c r="G20" s="336"/>
      <c r="H20" s="336"/>
      <c r="I20" s="337"/>
    </row>
    <row r="21" spans="5:9" ht="15.75" thickBot="1" x14ac:dyDescent="0.3">
      <c r="E21" s="19" t="s">
        <v>75</v>
      </c>
      <c r="F21" s="347"/>
      <c r="G21" s="348"/>
      <c r="H21" s="348"/>
      <c r="I21" s="349"/>
    </row>
    <row r="22" spans="5:9" x14ac:dyDescent="0.25">
      <c r="E22" s="350"/>
      <c r="F22" s="20">
        <v>2018</v>
      </c>
      <c r="G22" s="20">
        <v>2019</v>
      </c>
      <c r="H22" s="20">
        <v>2020</v>
      </c>
      <c r="I22" s="20">
        <v>2021</v>
      </c>
    </row>
    <row r="23" spans="5:9" ht="15.75" thickBot="1" x14ac:dyDescent="0.3">
      <c r="E23" s="351"/>
      <c r="F23" s="21" t="s">
        <v>42</v>
      </c>
      <c r="G23" s="21" t="s">
        <v>43</v>
      </c>
      <c r="H23" s="21" t="s">
        <v>43</v>
      </c>
      <c r="I23" s="21" t="s">
        <v>43</v>
      </c>
    </row>
    <row r="24" spans="5:9" ht="15.75" thickBot="1" x14ac:dyDescent="0.3">
      <c r="E24" s="19" t="s">
        <v>77</v>
      </c>
      <c r="F24" s="22">
        <v>104</v>
      </c>
      <c r="G24" s="22">
        <v>104</v>
      </c>
      <c r="H24" s="22">
        <v>104</v>
      </c>
      <c r="I24" s="22">
        <v>104</v>
      </c>
    </row>
    <row r="25" spans="5:9" ht="15.75" thickBot="1" x14ac:dyDescent="0.3">
      <c r="E25" s="19" t="s">
        <v>78</v>
      </c>
      <c r="F25" s="22">
        <v>138300</v>
      </c>
      <c r="G25" s="140">
        <v>142500</v>
      </c>
      <c r="H25" s="140">
        <v>143500</v>
      </c>
      <c r="I25" s="140">
        <v>148500</v>
      </c>
    </row>
    <row r="26" spans="5:9" ht="15.75" thickBot="1" x14ac:dyDescent="0.3">
      <c r="E26" s="19" t="s">
        <v>79</v>
      </c>
      <c r="F26" s="22">
        <f>F25/F24</f>
        <v>1329.8076923076924</v>
      </c>
      <c r="G26" s="22">
        <f t="shared" ref="G26:I26" si="0">G25/G24</f>
        <v>1370.1923076923076</v>
      </c>
      <c r="H26" s="22">
        <f t="shared" si="0"/>
        <v>1379.8076923076924</v>
      </c>
      <c r="I26" s="22">
        <f t="shared" si="0"/>
        <v>1427.8846153846155</v>
      </c>
    </row>
    <row r="27" spans="5:9" ht="15.75" thickBot="1" x14ac:dyDescent="0.3">
      <c r="E27" s="19" t="s">
        <v>80</v>
      </c>
      <c r="F27" s="23" t="s">
        <v>81</v>
      </c>
      <c r="G27" s="13">
        <f>G24/F24-1</f>
        <v>0</v>
      </c>
      <c r="H27" s="13">
        <f t="shared" ref="H27:I29" si="1">H24/G24-1</f>
        <v>0</v>
      </c>
      <c r="I27" s="13">
        <f t="shared" si="1"/>
        <v>0</v>
      </c>
    </row>
    <row r="28" spans="5:9" ht="15.75" thickBot="1" x14ac:dyDescent="0.3">
      <c r="E28" s="19" t="s">
        <v>82</v>
      </c>
      <c r="F28" s="23" t="s">
        <v>81</v>
      </c>
      <c r="G28" s="13">
        <f>G25/F25-1</f>
        <v>3.0368763557483636E-2</v>
      </c>
      <c r="H28" s="13">
        <f t="shared" si="1"/>
        <v>7.0175438596491446E-3</v>
      </c>
      <c r="I28" s="13">
        <f t="shared" si="1"/>
        <v>3.4843205574912828E-2</v>
      </c>
    </row>
    <row r="29" spans="5:9" ht="15.75" thickBot="1" x14ac:dyDescent="0.3">
      <c r="E29" s="19" t="s">
        <v>83</v>
      </c>
      <c r="F29" s="23" t="s">
        <v>81</v>
      </c>
      <c r="G29" s="13">
        <f>G26/F26-1</f>
        <v>3.0368763557483636E-2</v>
      </c>
      <c r="H29" s="13">
        <f t="shared" si="1"/>
        <v>7.0175438596491446E-3</v>
      </c>
      <c r="I29" s="13">
        <f t="shared" si="1"/>
        <v>3.4843205574912828E-2</v>
      </c>
    </row>
    <row r="30" spans="5:9" ht="15.75" customHeight="1" thickBot="1" x14ac:dyDescent="0.3">
      <c r="E30" s="338" t="s">
        <v>84</v>
      </c>
      <c r="F30" s="339"/>
      <c r="G30" s="339"/>
      <c r="H30" s="339"/>
      <c r="I30" s="340"/>
    </row>
    <row r="31" spans="5:9" x14ac:dyDescent="0.25">
      <c r="E31" s="350"/>
      <c r="F31" s="20">
        <v>2018</v>
      </c>
      <c r="G31" s="20">
        <v>2019</v>
      </c>
      <c r="H31" s="20">
        <v>2020</v>
      </c>
      <c r="I31" s="20">
        <v>2021</v>
      </c>
    </row>
    <row r="32" spans="5:9" ht="15.75" thickBot="1" x14ac:dyDescent="0.3">
      <c r="E32" s="351"/>
      <c r="F32" s="21" t="s">
        <v>42</v>
      </c>
      <c r="G32" s="21" t="s">
        <v>43</v>
      </c>
      <c r="H32" s="21" t="s">
        <v>43</v>
      </c>
      <c r="I32" s="21" t="s">
        <v>43</v>
      </c>
    </row>
    <row r="33" spans="5:9" ht="15.75" thickBot="1" x14ac:dyDescent="0.3">
      <c r="E33" s="24" t="s">
        <v>85</v>
      </c>
      <c r="F33" s="25">
        <v>90000</v>
      </c>
      <c r="G33" s="25">
        <v>90000</v>
      </c>
      <c r="H33" s="25">
        <v>90000</v>
      </c>
      <c r="I33" s="25">
        <v>90000</v>
      </c>
    </row>
    <row r="34" spans="5:9" ht="15.75" thickBot="1" x14ac:dyDescent="0.3">
      <c r="E34" s="24" t="s">
        <v>86</v>
      </c>
      <c r="F34" s="25">
        <v>14000</v>
      </c>
      <c r="G34" s="25">
        <v>14000</v>
      </c>
      <c r="H34" s="25">
        <v>14000</v>
      </c>
      <c r="I34" s="25">
        <v>14000</v>
      </c>
    </row>
    <row r="35" spans="5:9" ht="15.75" thickBot="1" x14ac:dyDescent="0.3">
      <c r="E35" s="24" t="s">
        <v>87</v>
      </c>
      <c r="F35" s="25">
        <v>27800</v>
      </c>
      <c r="G35" s="25">
        <v>30000</v>
      </c>
      <c r="H35" s="25">
        <v>30500</v>
      </c>
      <c r="I35" s="25">
        <v>35000</v>
      </c>
    </row>
    <row r="36" spans="5:9" ht="15.75" thickBot="1" x14ac:dyDescent="0.3">
      <c r="E36" s="24" t="s">
        <v>88</v>
      </c>
      <c r="F36" s="26"/>
      <c r="G36" s="25"/>
      <c r="H36" s="25"/>
      <c r="I36" s="25"/>
    </row>
    <row r="37" spans="5:9" ht="15.75" thickBot="1" x14ac:dyDescent="0.3">
      <c r="E37" s="24" t="s">
        <v>89</v>
      </c>
      <c r="F37" s="26"/>
      <c r="G37" s="25"/>
      <c r="H37" s="25"/>
      <c r="I37" s="25"/>
    </row>
    <row r="38" spans="5:9" ht="15.75" thickBot="1" x14ac:dyDescent="0.3">
      <c r="E38" s="24" t="s">
        <v>90</v>
      </c>
      <c r="F38" s="26">
        <v>6500</v>
      </c>
      <c r="G38" s="25">
        <v>8500</v>
      </c>
      <c r="H38" s="25">
        <v>9000</v>
      </c>
      <c r="I38" s="25">
        <v>9500</v>
      </c>
    </row>
    <row r="39" spans="5:9" ht="15.75" thickBot="1" x14ac:dyDescent="0.3">
      <c r="E39" s="24" t="s">
        <v>91</v>
      </c>
      <c r="F39" s="26"/>
      <c r="G39" s="25"/>
      <c r="H39" s="25"/>
      <c r="I39" s="25"/>
    </row>
    <row r="40" spans="5:9" ht="15.75" thickBot="1" x14ac:dyDescent="0.3">
      <c r="E40" s="27" t="s">
        <v>92</v>
      </c>
      <c r="F40" s="26">
        <f>F39+F38+F37+F36+F35+F34+F33</f>
        <v>138300</v>
      </c>
      <c r="G40" s="26">
        <f>G39+G38+G37+G36+G35+G34+G33</f>
        <v>142500</v>
      </c>
      <c r="H40" s="26">
        <f>H39+H38+H37+H36+H35+H34+H33</f>
        <v>143500</v>
      </c>
      <c r="I40" s="26">
        <f>I39+I38+I37+I36+I35+I34+I33</f>
        <v>148500</v>
      </c>
    </row>
    <row r="41" spans="5:9" ht="15.75" thickBot="1" x14ac:dyDescent="0.3">
      <c r="E41" s="28" t="s">
        <v>93</v>
      </c>
      <c r="F41" s="29">
        <f>IF(F40-F25=0,0,"Error")</f>
        <v>0</v>
      </c>
      <c r="G41" s="29">
        <f>IF(G40-G25=0,0,"Error")</f>
        <v>0</v>
      </c>
      <c r="H41" s="29">
        <f>IF(H40-H25=0,0,"Error")</f>
        <v>0</v>
      </c>
      <c r="I41" s="29">
        <f>IF(I40-I25=0,0,"Error")</f>
        <v>0</v>
      </c>
    </row>
    <row r="42" spans="5:9" ht="15.75" thickBot="1" x14ac:dyDescent="0.3">
      <c r="E42" s="341" t="s">
        <v>105</v>
      </c>
      <c r="F42" s="342"/>
      <c r="G42" s="342"/>
      <c r="H42" s="342"/>
      <c r="I42" s="343"/>
    </row>
    <row r="43" spans="5:9" ht="15.75" thickBot="1" x14ac:dyDescent="0.3">
      <c r="E43" s="341" t="s">
        <v>106</v>
      </c>
      <c r="F43" s="342"/>
      <c r="G43" s="342"/>
      <c r="H43" s="342"/>
      <c r="I43" s="343"/>
    </row>
    <row r="44" spans="5:9" ht="15.75" thickBot="1" x14ac:dyDescent="0.3">
      <c r="E44" s="30" t="s">
        <v>107</v>
      </c>
      <c r="F44" s="352"/>
      <c r="G44" s="353"/>
      <c r="H44" s="353"/>
      <c r="I44" s="354"/>
    </row>
    <row r="45" spans="5:9" ht="15.75" thickBot="1" x14ac:dyDescent="0.3">
      <c r="E45" s="18" t="s">
        <v>109</v>
      </c>
      <c r="F45" s="344" t="s">
        <v>461</v>
      </c>
      <c r="G45" s="345"/>
      <c r="H45" s="345"/>
      <c r="I45" s="346"/>
    </row>
    <row r="46" spans="5:9" ht="15.75" thickBot="1" x14ac:dyDescent="0.3">
      <c r="E46" s="19" t="s">
        <v>73</v>
      </c>
      <c r="F46" s="335" t="s">
        <v>462</v>
      </c>
      <c r="G46" s="336"/>
      <c r="H46" s="336"/>
      <c r="I46" s="337"/>
    </row>
    <row r="47" spans="5:9" ht="15.75" thickBot="1" x14ac:dyDescent="0.3">
      <c r="E47" s="19" t="s">
        <v>75</v>
      </c>
      <c r="F47" s="347" t="s">
        <v>463</v>
      </c>
      <c r="G47" s="348"/>
      <c r="H47" s="348"/>
      <c r="I47" s="349"/>
    </row>
    <row r="48" spans="5:9" x14ac:dyDescent="0.25">
      <c r="E48" s="350"/>
      <c r="F48" s="20">
        <v>2018</v>
      </c>
      <c r="G48" s="20">
        <v>2019</v>
      </c>
      <c r="H48" s="20">
        <v>2020</v>
      </c>
      <c r="I48" s="20">
        <v>2021</v>
      </c>
    </row>
    <row r="49" spans="5:9" ht="15.75" thickBot="1" x14ac:dyDescent="0.3">
      <c r="E49" s="351"/>
      <c r="F49" s="21" t="s">
        <v>42</v>
      </c>
      <c r="G49" s="21" t="s">
        <v>43</v>
      </c>
      <c r="H49" s="21" t="s">
        <v>43</v>
      </c>
      <c r="I49" s="21" t="s">
        <v>43</v>
      </c>
    </row>
    <row r="50" spans="5:9" ht="15.75" thickBot="1" x14ac:dyDescent="0.3">
      <c r="E50" s="19" t="s">
        <v>77</v>
      </c>
      <c r="F50" s="22"/>
      <c r="G50" s="22">
        <v>36</v>
      </c>
      <c r="H50" s="22">
        <v>0</v>
      </c>
      <c r="I50" s="22">
        <v>64</v>
      </c>
    </row>
    <row r="51" spans="5:9" ht="15.75" thickBot="1" x14ac:dyDescent="0.3">
      <c r="E51" s="19" t="s">
        <v>78</v>
      </c>
      <c r="F51" s="22"/>
      <c r="G51" s="22">
        <v>5470</v>
      </c>
      <c r="H51" s="22">
        <v>0</v>
      </c>
      <c r="I51" s="22">
        <v>10000</v>
      </c>
    </row>
    <row r="52" spans="5:9" ht="15.75" thickBot="1" x14ac:dyDescent="0.3">
      <c r="E52" s="19" t="s">
        <v>79</v>
      </c>
      <c r="F52" s="22" t="e">
        <f>F51/F50</f>
        <v>#DIV/0!</v>
      </c>
      <c r="G52" s="22">
        <f t="shared" ref="G52:I52" si="2">G51/G50</f>
        <v>151.94444444444446</v>
      </c>
      <c r="H52" s="22" t="e">
        <f t="shared" si="2"/>
        <v>#DIV/0!</v>
      </c>
      <c r="I52" s="22">
        <f t="shared" si="2"/>
        <v>156.25</v>
      </c>
    </row>
    <row r="53" spans="5:9" ht="15.75" thickBot="1" x14ac:dyDescent="0.3">
      <c r="E53" s="19" t="s">
        <v>80</v>
      </c>
      <c r="F53" s="23" t="s">
        <v>81</v>
      </c>
      <c r="G53" s="13" t="e">
        <f>G50/F50-1</f>
        <v>#DIV/0!</v>
      </c>
      <c r="H53" s="13">
        <f t="shared" ref="H53:I55" si="3">H50/G50-1</f>
        <v>-1</v>
      </c>
      <c r="I53" s="13" t="e">
        <f t="shared" si="3"/>
        <v>#DIV/0!</v>
      </c>
    </row>
    <row r="54" spans="5:9" ht="15.75" thickBot="1" x14ac:dyDescent="0.3">
      <c r="E54" s="19" t="s">
        <v>82</v>
      </c>
      <c r="F54" s="23" t="s">
        <v>81</v>
      </c>
      <c r="G54" s="13" t="e">
        <f>G51/F51-1</f>
        <v>#DIV/0!</v>
      </c>
      <c r="H54" s="13">
        <f t="shared" si="3"/>
        <v>-1</v>
      </c>
      <c r="I54" s="13" t="e">
        <f t="shared" si="3"/>
        <v>#DIV/0!</v>
      </c>
    </row>
    <row r="55" spans="5:9" ht="15.75" thickBot="1" x14ac:dyDescent="0.3">
      <c r="E55" s="19" t="s">
        <v>83</v>
      </c>
      <c r="F55" s="23" t="s">
        <v>81</v>
      </c>
      <c r="G55" s="13" t="e">
        <f>G52/F52-1</f>
        <v>#DIV/0!</v>
      </c>
      <c r="H55" s="13" t="e">
        <f t="shared" si="3"/>
        <v>#DIV/0!</v>
      </c>
      <c r="I55" s="13" t="e">
        <f t="shared" si="3"/>
        <v>#DIV/0!</v>
      </c>
    </row>
    <row r="56" spans="5:9" ht="15.75" customHeight="1" thickBot="1" x14ac:dyDescent="0.3">
      <c r="E56" s="338" t="s">
        <v>84</v>
      </c>
      <c r="F56" s="339"/>
      <c r="G56" s="339"/>
      <c r="H56" s="339"/>
      <c r="I56" s="340"/>
    </row>
    <row r="57" spans="5:9" x14ac:dyDescent="0.25">
      <c r="E57" s="350"/>
      <c r="F57" s="20">
        <v>2018</v>
      </c>
      <c r="G57" s="20">
        <v>2019</v>
      </c>
      <c r="H57" s="20">
        <v>2020</v>
      </c>
      <c r="I57" s="20">
        <v>2021</v>
      </c>
    </row>
    <row r="58" spans="5:9" ht="15.75" thickBot="1" x14ac:dyDescent="0.3">
      <c r="E58" s="351"/>
      <c r="F58" s="21" t="s">
        <v>42</v>
      </c>
      <c r="G58" s="21" t="s">
        <v>43</v>
      </c>
      <c r="H58" s="21" t="s">
        <v>43</v>
      </c>
      <c r="I58" s="21" t="s">
        <v>43</v>
      </c>
    </row>
    <row r="59" spans="5:9" ht="15.75" thickBot="1" x14ac:dyDescent="0.3">
      <c r="E59" s="24" t="s">
        <v>170</v>
      </c>
      <c r="F59" s="25"/>
      <c r="G59" s="25"/>
      <c r="H59" s="25"/>
      <c r="I59" s="25"/>
    </row>
    <row r="60" spans="5:9" ht="15.75" thickBot="1" x14ac:dyDescent="0.3">
      <c r="E60" s="24" t="s">
        <v>113</v>
      </c>
      <c r="F60" s="22">
        <v>0</v>
      </c>
      <c r="G60" s="22">
        <v>5470</v>
      </c>
      <c r="H60" s="22">
        <v>0</v>
      </c>
      <c r="I60" s="22">
        <v>10000</v>
      </c>
    </row>
    <row r="61" spans="5:9" ht="15.75" thickBot="1" x14ac:dyDescent="0.3">
      <c r="E61" s="27" t="s">
        <v>92</v>
      </c>
      <c r="F61" s="26">
        <f>F60+F59</f>
        <v>0</v>
      </c>
      <c r="G61" s="26">
        <f t="shared" ref="G61:I61" si="4">G60+G59</f>
        <v>5470</v>
      </c>
      <c r="H61" s="26">
        <f t="shared" si="4"/>
        <v>0</v>
      </c>
      <c r="I61" s="26">
        <f t="shared" si="4"/>
        <v>10000</v>
      </c>
    </row>
    <row r="62" spans="5:9" x14ac:dyDescent="0.25">
      <c r="E62" s="355" t="s">
        <v>114</v>
      </c>
      <c r="F62" s="358"/>
      <c r="G62" s="359"/>
      <c r="H62" s="359"/>
      <c r="I62" s="360"/>
    </row>
    <row r="63" spans="5:9" x14ac:dyDescent="0.25">
      <c r="E63" s="356"/>
      <c r="F63" s="361"/>
      <c r="G63" s="362"/>
      <c r="H63" s="362"/>
      <c r="I63" s="363"/>
    </row>
    <row r="64" spans="5:9" ht="15.75" thickBot="1" x14ac:dyDescent="0.3">
      <c r="E64" s="357"/>
      <c r="F64" s="364"/>
      <c r="G64" s="365"/>
      <c r="H64" s="365"/>
      <c r="I64" s="366"/>
    </row>
    <row r="65" spans="5:9" ht="15.75" thickBot="1" x14ac:dyDescent="0.3">
      <c r="E65" s="30" t="s">
        <v>260</v>
      </c>
      <c r="F65" s="352" t="s">
        <v>464</v>
      </c>
      <c r="G65" s="353"/>
      <c r="H65" s="353"/>
      <c r="I65" s="354"/>
    </row>
    <row r="66" spans="5:9" ht="15.75" thickBot="1" x14ac:dyDescent="0.3">
      <c r="E66" s="18" t="s">
        <v>376</v>
      </c>
      <c r="F66" s="502" t="s">
        <v>465</v>
      </c>
      <c r="G66" s="503"/>
      <c r="H66" s="503"/>
      <c r="I66" s="504"/>
    </row>
    <row r="67" spans="5:9" ht="15.75" thickBot="1" x14ac:dyDescent="0.3">
      <c r="E67" s="19" t="s">
        <v>73</v>
      </c>
      <c r="F67" s="487" t="s">
        <v>466</v>
      </c>
      <c r="G67" s="488"/>
      <c r="H67" s="488"/>
      <c r="I67" s="489"/>
    </row>
    <row r="68" spans="5:9" ht="15.75" thickBot="1" x14ac:dyDescent="0.3">
      <c r="E68" s="19" t="s">
        <v>75</v>
      </c>
      <c r="F68" s="347" t="s">
        <v>463</v>
      </c>
      <c r="G68" s="348"/>
      <c r="H68" s="348"/>
      <c r="I68" s="349"/>
    </row>
    <row r="69" spans="5:9" x14ac:dyDescent="0.25">
      <c r="E69" s="350"/>
      <c r="F69" s="20">
        <v>2018</v>
      </c>
      <c r="G69" s="20">
        <v>2019</v>
      </c>
      <c r="H69" s="20">
        <v>2020</v>
      </c>
      <c r="I69" s="20">
        <v>2021</v>
      </c>
    </row>
    <row r="70" spans="5:9" ht="15.75" thickBot="1" x14ac:dyDescent="0.3">
      <c r="E70" s="351"/>
      <c r="F70" s="21" t="s">
        <v>42</v>
      </c>
      <c r="G70" s="21" t="s">
        <v>43</v>
      </c>
      <c r="H70" s="21" t="s">
        <v>43</v>
      </c>
      <c r="I70" s="21" t="s">
        <v>43</v>
      </c>
    </row>
    <row r="71" spans="5:9" ht="15.75" thickBot="1" x14ac:dyDescent="0.3">
      <c r="E71" s="19" t="s">
        <v>77</v>
      </c>
      <c r="F71" s="22">
        <v>1</v>
      </c>
      <c r="G71" s="22">
        <v>0</v>
      </c>
      <c r="H71" s="22">
        <v>0</v>
      </c>
      <c r="I71" s="22">
        <v>0</v>
      </c>
    </row>
    <row r="72" spans="5:9" ht="15.75" thickBot="1" x14ac:dyDescent="0.3">
      <c r="E72" s="19" t="s">
        <v>78</v>
      </c>
      <c r="F72" s="22">
        <v>4700</v>
      </c>
      <c r="G72" s="22">
        <v>0</v>
      </c>
      <c r="H72" s="22">
        <v>0</v>
      </c>
      <c r="I72" s="22">
        <v>0</v>
      </c>
    </row>
    <row r="73" spans="5:9" ht="15.75" thickBot="1" x14ac:dyDescent="0.3">
      <c r="E73" s="19" t="s">
        <v>79</v>
      </c>
      <c r="F73" s="22">
        <f>F72/F71</f>
        <v>4700</v>
      </c>
      <c r="G73" s="22" t="e">
        <f t="shared" ref="G73:I73" si="5">G72/G71</f>
        <v>#DIV/0!</v>
      </c>
      <c r="H73" s="22" t="e">
        <f t="shared" si="5"/>
        <v>#DIV/0!</v>
      </c>
      <c r="I73" s="22" t="e">
        <f t="shared" si="5"/>
        <v>#DIV/0!</v>
      </c>
    </row>
    <row r="74" spans="5:9" ht="15.75" thickBot="1" x14ac:dyDescent="0.3">
      <c r="E74" s="19" t="s">
        <v>80</v>
      </c>
      <c r="F74" s="23" t="s">
        <v>81</v>
      </c>
      <c r="G74" s="13">
        <f>G71/F71-1</f>
        <v>-1</v>
      </c>
      <c r="H74" s="13" t="e">
        <f t="shared" ref="H74:I76" si="6">H71/G71-1</f>
        <v>#DIV/0!</v>
      </c>
      <c r="I74" s="13" t="e">
        <f t="shared" si="6"/>
        <v>#DIV/0!</v>
      </c>
    </row>
    <row r="75" spans="5:9" ht="15.75" thickBot="1" x14ac:dyDescent="0.3">
      <c r="E75" s="19" t="s">
        <v>82</v>
      </c>
      <c r="F75" s="23" t="s">
        <v>81</v>
      </c>
      <c r="G75" s="13">
        <f>G72/F72-1</f>
        <v>-1</v>
      </c>
      <c r="H75" s="13" t="e">
        <f t="shared" si="6"/>
        <v>#DIV/0!</v>
      </c>
      <c r="I75" s="13" t="e">
        <f t="shared" si="6"/>
        <v>#DIV/0!</v>
      </c>
    </row>
    <row r="76" spans="5:9" ht="15.75" thickBot="1" x14ac:dyDescent="0.3">
      <c r="E76" s="19" t="s">
        <v>83</v>
      </c>
      <c r="F76" s="23" t="s">
        <v>81</v>
      </c>
      <c r="G76" s="13" t="e">
        <f>G73/F73-1</f>
        <v>#DIV/0!</v>
      </c>
      <c r="H76" s="13" t="e">
        <f t="shared" si="6"/>
        <v>#DIV/0!</v>
      </c>
      <c r="I76" s="13" t="e">
        <f t="shared" si="6"/>
        <v>#DIV/0!</v>
      </c>
    </row>
    <row r="77" spans="5:9" ht="15.75" customHeight="1" thickBot="1" x14ac:dyDescent="0.3">
      <c r="E77" s="338" t="s">
        <v>377</v>
      </c>
      <c r="F77" s="339"/>
      <c r="G77" s="339"/>
      <c r="H77" s="339"/>
      <c r="I77" s="340"/>
    </row>
    <row r="78" spans="5:9" x14ac:dyDescent="0.25">
      <c r="E78" s="350"/>
      <c r="F78" s="20">
        <v>2018</v>
      </c>
      <c r="G78" s="20">
        <v>2019</v>
      </c>
      <c r="H78" s="20">
        <v>2020</v>
      </c>
      <c r="I78" s="20">
        <v>2021</v>
      </c>
    </row>
    <row r="79" spans="5:9" ht="15.75" thickBot="1" x14ac:dyDescent="0.3">
      <c r="E79" s="351"/>
      <c r="F79" s="21" t="s">
        <v>42</v>
      </c>
      <c r="G79" s="21" t="s">
        <v>43</v>
      </c>
      <c r="H79" s="21" t="s">
        <v>43</v>
      </c>
      <c r="I79" s="21" t="s">
        <v>43</v>
      </c>
    </row>
    <row r="80" spans="5:9" ht="15.75" thickBot="1" x14ac:dyDescent="0.3">
      <c r="E80" s="24" t="s">
        <v>170</v>
      </c>
      <c r="F80" s="25"/>
      <c r="G80" s="25"/>
      <c r="H80" s="25"/>
      <c r="I80" s="25"/>
    </row>
    <row r="81" spans="5:9" ht="15.75" thickBot="1" x14ac:dyDescent="0.3">
      <c r="E81" s="24" t="s">
        <v>113</v>
      </c>
      <c r="F81" s="22">
        <v>4700</v>
      </c>
      <c r="G81" s="22">
        <v>0</v>
      </c>
      <c r="H81" s="22">
        <v>0</v>
      </c>
      <c r="I81" s="22">
        <v>0</v>
      </c>
    </row>
    <row r="82" spans="5:9" ht="15.75" thickBot="1" x14ac:dyDescent="0.3">
      <c r="E82" s="27" t="s">
        <v>177</v>
      </c>
      <c r="F82" s="26">
        <f>F81+F80</f>
        <v>4700</v>
      </c>
      <c r="G82" s="26">
        <f t="shared" ref="G82:I82" si="7">G81+G80</f>
        <v>0</v>
      </c>
      <c r="H82" s="26">
        <f t="shared" si="7"/>
        <v>0</v>
      </c>
      <c r="I82" s="26">
        <f t="shared" si="7"/>
        <v>0</v>
      </c>
    </row>
    <row r="83" spans="5:9" ht="15.75" thickBot="1" x14ac:dyDescent="0.3">
      <c r="E83" s="341" t="s">
        <v>105</v>
      </c>
      <c r="F83" s="342"/>
      <c r="G83" s="342"/>
      <c r="H83" s="342"/>
      <c r="I83" s="343"/>
    </row>
    <row r="84" spans="5:9" ht="15.75" thickBot="1" x14ac:dyDescent="0.3">
      <c r="E84" s="341" t="s">
        <v>171</v>
      </c>
      <c r="F84" s="342"/>
      <c r="G84" s="342"/>
      <c r="H84" s="342"/>
      <c r="I84" s="343"/>
    </row>
    <row r="85" spans="5:9" ht="15.75" thickBot="1" x14ac:dyDescent="0.3">
      <c r="E85" s="30" t="s">
        <v>260</v>
      </c>
      <c r="F85" s="352" t="s">
        <v>467</v>
      </c>
      <c r="G85" s="353"/>
      <c r="H85" s="353"/>
      <c r="I85" s="354"/>
    </row>
    <row r="86" spans="5:9" ht="15.75" thickBot="1" x14ac:dyDescent="0.3">
      <c r="E86" s="18" t="s">
        <v>109</v>
      </c>
      <c r="F86" s="537" t="s">
        <v>468</v>
      </c>
      <c r="G86" s="538"/>
      <c r="H86" s="538"/>
      <c r="I86" s="539"/>
    </row>
    <row r="87" spans="5:9" ht="15.75" thickBot="1" x14ac:dyDescent="0.3">
      <c r="E87" s="19" t="s">
        <v>73</v>
      </c>
      <c r="F87" s="499" t="s">
        <v>469</v>
      </c>
      <c r="G87" s="500"/>
      <c r="H87" s="500"/>
      <c r="I87" s="501"/>
    </row>
    <row r="88" spans="5:9" ht="15.75" thickBot="1" x14ac:dyDescent="0.3">
      <c r="E88" s="19" t="s">
        <v>75</v>
      </c>
      <c r="F88" s="347" t="s">
        <v>463</v>
      </c>
      <c r="G88" s="348"/>
      <c r="H88" s="348"/>
      <c r="I88" s="349"/>
    </row>
    <row r="89" spans="5:9" x14ac:dyDescent="0.25">
      <c r="E89" s="350"/>
      <c r="F89" s="20">
        <v>2018</v>
      </c>
      <c r="G89" s="20">
        <v>2019</v>
      </c>
      <c r="H89" s="20">
        <v>2020</v>
      </c>
      <c r="I89" s="20">
        <v>2021</v>
      </c>
    </row>
    <row r="90" spans="5:9" ht="15.75" thickBot="1" x14ac:dyDescent="0.3">
      <c r="E90" s="351"/>
      <c r="F90" s="21" t="s">
        <v>42</v>
      </c>
      <c r="G90" s="21" t="s">
        <v>43</v>
      </c>
      <c r="H90" s="21" t="s">
        <v>43</v>
      </c>
      <c r="I90" s="21" t="s">
        <v>43</v>
      </c>
    </row>
    <row r="91" spans="5:9" ht="15.75" thickBot="1" x14ac:dyDescent="0.3">
      <c r="E91" s="19" t="s">
        <v>77</v>
      </c>
      <c r="F91" s="22">
        <v>1</v>
      </c>
      <c r="G91" s="22">
        <v>0</v>
      </c>
      <c r="H91" s="22">
        <v>0</v>
      </c>
      <c r="I91" s="22">
        <v>0</v>
      </c>
    </row>
    <row r="92" spans="5:9" ht="15.75" thickBot="1" x14ac:dyDescent="0.3">
      <c r="E92" s="19" t="s">
        <v>78</v>
      </c>
      <c r="F92" s="22">
        <v>1300</v>
      </c>
      <c r="G92" s="22">
        <v>0</v>
      </c>
      <c r="H92" s="22">
        <v>0</v>
      </c>
      <c r="I92" s="22">
        <v>0</v>
      </c>
    </row>
    <row r="93" spans="5:9" ht="15.75" thickBot="1" x14ac:dyDescent="0.3">
      <c r="E93" s="19" t="s">
        <v>79</v>
      </c>
      <c r="F93" s="22">
        <f>F92/F91</f>
        <v>1300</v>
      </c>
      <c r="G93" s="22" t="e">
        <f t="shared" ref="G93:I93" si="8">G92/G91</f>
        <v>#DIV/0!</v>
      </c>
      <c r="H93" s="22" t="e">
        <f t="shared" si="8"/>
        <v>#DIV/0!</v>
      </c>
      <c r="I93" s="22" t="e">
        <f t="shared" si="8"/>
        <v>#DIV/0!</v>
      </c>
    </row>
    <row r="94" spans="5:9" ht="15.75" thickBot="1" x14ac:dyDescent="0.3">
      <c r="E94" s="19" t="s">
        <v>80</v>
      </c>
      <c r="F94" s="23" t="s">
        <v>81</v>
      </c>
      <c r="G94" s="13">
        <f>G91/F91-1</f>
        <v>-1</v>
      </c>
      <c r="H94" s="13" t="e">
        <f t="shared" ref="H94:I96" si="9">H91/G91-1</f>
        <v>#DIV/0!</v>
      </c>
      <c r="I94" s="13" t="e">
        <f t="shared" si="9"/>
        <v>#DIV/0!</v>
      </c>
    </row>
    <row r="95" spans="5:9" ht="15.75" thickBot="1" x14ac:dyDescent="0.3">
      <c r="E95" s="19" t="s">
        <v>82</v>
      </c>
      <c r="F95" s="23" t="s">
        <v>81</v>
      </c>
      <c r="G95" s="13">
        <f>G92/F92-1</f>
        <v>-1</v>
      </c>
      <c r="H95" s="13" t="e">
        <f t="shared" si="9"/>
        <v>#DIV/0!</v>
      </c>
      <c r="I95" s="13" t="e">
        <f t="shared" si="9"/>
        <v>#DIV/0!</v>
      </c>
    </row>
    <row r="96" spans="5:9" ht="15.75" thickBot="1" x14ac:dyDescent="0.3">
      <c r="E96" s="19" t="s">
        <v>83</v>
      </c>
      <c r="F96" s="23" t="s">
        <v>81</v>
      </c>
      <c r="G96" s="13" t="e">
        <f>G93/F93-1</f>
        <v>#DIV/0!</v>
      </c>
      <c r="H96" s="13" t="e">
        <f t="shared" si="9"/>
        <v>#DIV/0!</v>
      </c>
      <c r="I96" s="13" t="e">
        <f t="shared" si="9"/>
        <v>#DIV/0!</v>
      </c>
    </row>
    <row r="97" spans="5:9" ht="15.75" customHeight="1" thickBot="1" x14ac:dyDescent="0.3">
      <c r="E97" s="338" t="s">
        <v>84</v>
      </c>
      <c r="F97" s="339"/>
      <c r="G97" s="339"/>
      <c r="H97" s="339"/>
      <c r="I97" s="340"/>
    </row>
    <row r="98" spans="5:9" x14ac:dyDescent="0.25">
      <c r="E98" s="350"/>
      <c r="F98" s="20">
        <v>2018</v>
      </c>
      <c r="G98" s="20">
        <v>2019</v>
      </c>
      <c r="H98" s="20">
        <v>2020</v>
      </c>
      <c r="I98" s="20">
        <v>2021</v>
      </c>
    </row>
    <row r="99" spans="5:9" ht="15.75" thickBot="1" x14ac:dyDescent="0.3">
      <c r="E99" s="351"/>
      <c r="F99" s="21" t="s">
        <v>42</v>
      </c>
      <c r="G99" s="21" t="s">
        <v>43</v>
      </c>
      <c r="H99" s="21" t="s">
        <v>43</v>
      </c>
      <c r="I99" s="21" t="s">
        <v>43</v>
      </c>
    </row>
    <row r="100" spans="5:9" ht="15.75" thickBot="1" x14ac:dyDescent="0.3">
      <c r="E100" s="24" t="s">
        <v>170</v>
      </c>
      <c r="F100" s="22">
        <v>0</v>
      </c>
      <c r="G100" s="25"/>
      <c r="H100" s="25"/>
      <c r="I100" s="25"/>
    </row>
    <row r="101" spans="5:9" ht="15.75" thickBot="1" x14ac:dyDescent="0.3">
      <c r="E101" s="24" t="s">
        <v>113</v>
      </c>
      <c r="F101" s="26">
        <v>1300</v>
      </c>
      <c r="G101" s="25">
        <v>0</v>
      </c>
      <c r="H101" s="25">
        <v>0</v>
      </c>
      <c r="I101" s="25">
        <v>0</v>
      </c>
    </row>
    <row r="102" spans="5:9" ht="15.75" thickBot="1" x14ac:dyDescent="0.3">
      <c r="E102" s="27" t="s">
        <v>92</v>
      </c>
      <c r="F102" s="26">
        <f>F101+F100</f>
        <v>1300</v>
      </c>
      <c r="G102" s="26">
        <f t="shared" ref="G102:I102" si="10">G101+G100</f>
        <v>0</v>
      </c>
      <c r="H102" s="26">
        <f t="shared" si="10"/>
        <v>0</v>
      </c>
      <c r="I102" s="26">
        <f t="shared" si="10"/>
        <v>0</v>
      </c>
    </row>
    <row r="103" spans="5:9" ht="15.75" thickBot="1" x14ac:dyDescent="0.3">
      <c r="E103" s="176" t="s">
        <v>260</v>
      </c>
      <c r="F103" s="352" t="s">
        <v>108</v>
      </c>
      <c r="G103" s="353"/>
      <c r="H103" s="353"/>
      <c r="I103" s="354"/>
    </row>
    <row r="104" spans="5:9" ht="15.75" thickBot="1" x14ac:dyDescent="0.3">
      <c r="E104" s="18" t="s">
        <v>376</v>
      </c>
      <c r="F104" s="344" t="s">
        <v>468</v>
      </c>
      <c r="G104" s="345"/>
      <c r="H104" s="345"/>
      <c r="I104" s="346"/>
    </row>
    <row r="105" spans="5:9" ht="31.5" customHeight="1" thickBot="1" x14ac:dyDescent="0.3">
      <c r="E105" s="19" t="s">
        <v>73</v>
      </c>
      <c r="F105" s="487" t="s">
        <v>470</v>
      </c>
      <c r="G105" s="488"/>
      <c r="H105" s="488"/>
      <c r="I105" s="489"/>
    </row>
    <row r="106" spans="5:9" ht="15.75" thickBot="1" x14ac:dyDescent="0.3">
      <c r="E106" s="19" t="s">
        <v>75</v>
      </c>
      <c r="F106" s="347" t="s">
        <v>375</v>
      </c>
      <c r="G106" s="348"/>
      <c r="H106" s="348"/>
      <c r="I106" s="349"/>
    </row>
    <row r="107" spans="5:9" x14ac:dyDescent="0.25">
      <c r="E107" s="350"/>
      <c r="F107" s="20">
        <v>2018</v>
      </c>
      <c r="G107" s="20">
        <v>2019</v>
      </c>
      <c r="H107" s="20">
        <v>2020</v>
      </c>
      <c r="I107" s="20">
        <v>2021</v>
      </c>
    </row>
    <row r="108" spans="5:9" ht="15.75" thickBot="1" x14ac:dyDescent="0.3">
      <c r="E108" s="351"/>
      <c r="F108" s="21" t="s">
        <v>42</v>
      </c>
      <c r="G108" s="21" t="s">
        <v>43</v>
      </c>
      <c r="H108" s="21" t="s">
        <v>43</v>
      </c>
      <c r="I108" s="21" t="s">
        <v>43</v>
      </c>
    </row>
    <row r="109" spans="5:9" ht="15.75" thickBot="1" x14ac:dyDescent="0.3">
      <c r="E109" s="19" t="s">
        <v>77</v>
      </c>
      <c r="F109" s="22"/>
      <c r="G109" s="22">
        <v>2</v>
      </c>
      <c r="H109" s="22">
        <v>4</v>
      </c>
      <c r="I109" s="22">
        <v>0</v>
      </c>
    </row>
    <row r="110" spans="5:9" ht="15.75" thickBot="1" x14ac:dyDescent="0.3">
      <c r="E110" s="19" t="s">
        <v>78</v>
      </c>
      <c r="F110" s="22"/>
      <c r="G110" s="22">
        <v>530</v>
      </c>
      <c r="H110" s="22">
        <v>5700</v>
      </c>
      <c r="I110" s="22">
        <v>0</v>
      </c>
    </row>
    <row r="111" spans="5:9" ht="15.75" thickBot="1" x14ac:dyDescent="0.3">
      <c r="E111" s="19" t="s">
        <v>79</v>
      </c>
      <c r="F111" s="22" t="e">
        <f>F110/F109</f>
        <v>#DIV/0!</v>
      </c>
      <c r="G111" s="22">
        <f t="shared" ref="G111:I111" si="11">G110/G109</f>
        <v>265</v>
      </c>
      <c r="H111" s="22">
        <f t="shared" si="11"/>
        <v>1425</v>
      </c>
      <c r="I111" s="22" t="e">
        <f t="shared" si="11"/>
        <v>#DIV/0!</v>
      </c>
    </row>
    <row r="112" spans="5:9" ht="15.75" thickBot="1" x14ac:dyDescent="0.3">
      <c r="E112" s="19" t="s">
        <v>80</v>
      </c>
      <c r="F112" s="23" t="s">
        <v>81</v>
      </c>
      <c r="G112" s="13" t="e">
        <f>G109/F109-1</f>
        <v>#DIV/0!</v>
      </c>
      <c r="H112" s="13">
        <f t="shared" ref="H112:I114" si="12">H109/G109-1</f>
        <v>1</v>
      </c>
      <c r="I112" s="13">
        <f t="shared" si="12"/>
        <v>-1</v>
      </c>
    </row>
    <row r="113" spans="5:9" ht="15.75" thickBot="1" x14ac:dyDescent="0.3">
      <c r="E113" s="19" t="s">
        <v>82</v>
      </c>
      <c r="F113" s="23" t="s">
        <v>81</v>
      </c>
      <c r="G113" s="13" t="e">
        <f>G110/F110-1</f>
        <v>#DIV/0!</v>
      </c>
      <c r="H113" s="13">
        <f t="shared" si="12"/>
        <v>9.7547169811320753</v>
      </c>
      <c r="I113" s="13">
        <f t="shared" si="12"/>
        <v>-1</v>
      </c>
    </row>
    <row r="114" spans="5:9" ht="15.75" thickBot="1" x14ac:dyDescent="0.3">
      <c r="E114" s="19" t="s">
        <v>83</v>
      </c>
      <c r="F114" s="23" t="s">
        <v>81</v>
      </c>
      <c r="G114" s="13" t="e">
        <f>G111/F111-1</f>
        <v>#DIV/0!</v>
      </c>
      <c r="H114" s="13">
        <f t="shared" si="12"/>
        <v>4.3773584905660377</v>
      </c>
      <c r="I114" s="13" t="e">
        <f t="shared" si="12"/>
        <v>#DIV/0!</v>
      </c>
    </row>
    <row r="115" spans="5:9" ht="15.75" customHeight="1" thickBot="1" x14ac:dyDescent="0.3">
      <c r="E115" s="338" t="s">
        <v>377</v>
      </c>
      <c r="F115" s="339"/>
      <c r="G115" s="339"/>
      <c r="H115" s="339"/>
      <c r="I115" s="340"/>
    </row>
    <row r="116" spans="5:9" x14ac:dyDescent="0.25">
      <c r="E116" s="350"/>
      <c r="F116" s="20">
        <v>2018</v>
      </c>
      <c r="G116" s="20">
        <v>2019</v>
      </c>
      <c r="H116" s="20">
        <v>2020</v>
      </c>
      <c r="I116" s="20">
        <v>2021</v>
      </c>
    </row>
    <row r="117" spans="5:9" ht="15.75" thickBot="1" x14ac:dyDescent="0.3">
      <c r="E117" s="351"/>
      <c r="F117" s="21" t="s">
        <v>42</v>
      </c>
      <c r="G117" s="21" t="s">
        <v>43</v>
      </c>
      <c r="H117" s="21" t="s">
        <v>43</v>
      </c>
      <c r="I117" s="21" t="s">
        <v>43</v>
      </c>
    </row>
    <row r="118" spans="5:9" ht="15.75" thickBot="1" x14ac:dyDescent="0.3">
      <c r="E118" s="24" t="s">
        <v>170</v>
      </c>
      <c r="F118" s="25"/>
      <c r="G118" s="25"/>
      <c r="H118" s="25"/>
      <c r="I118" s="25"/>
    </row>
    <row r="119" spans="5:9" ht="15.75" thickBot="1" x14ac:dyDescent="0.3">
      <c r="E119" s="24" t="s">
        <v>113</v>
      </c>
      <c r="F119" s="22">
        <v>0</v>
      </c>
      <c r="G119" s="25">
        <v>530</v>
      </c>
      <c r="H119" s="25">
        <v>5700</v>
      </c>
      <c r="I119" s="25"/>
    </row>
    <row r="120" spans="5:9" ht="15.75" thickBot="1" x14ac:dyDescent="0.3">
      <c r="E120" s="18" t="s">
        <v>177</v>
      </c>
      <c r="F120" s="26">
        <f>F119+F118</f>
        <v>0</v>
      </c>
      <c r="G120" s="26">
        <f t="shared" ref="G120:I120" si="13">G119+G118</f>
        <v>530</v>
      </c>
      <c r="H120" s="26">
        <f t="shared" si="13"/>
        <v>5700</v>
      </c>
      <c r="I120" s="26">
        <f t="shared" si="13"/>
        <v>0</v>
      </c>
    </row>
    <row r="121" spans="5:9" ht="15.75" thickBot="1" x14ac:dyDescent="0.3">
      <c r="E121" s="341" t="s">
        <v>70</v>
      </c>
      <c r="F121" s="342"/>
      <c r="G121" s="342"/>
      <c r="H121" s="342"/>
      <c r="I121" s="343"/>
    </row>
    <row r="122" spans="5:9" ht="15.75" thickBot="1" x14ac:dyDescent="0.3">
      <c r="E122" s="18" t="s">
        <v>71</v>
      </c>
      <c r="F122" s="344" t="s">
        <v>471</v>
      </c>
      <c r="G122" s="345"/>
      <c r="H122" s="345"/>
      <c r="I122" s="346"/>
    </row>
    <row r="123" spans="5:9" ht="15.75" thickBot="1" x14ac:dyDescent="0.3">
      <c r="E123" s="19" t="s">
        <v>73</v>
      </c>
      <c r="F123" s="335" t="s">
        <v>471</v>
      </c>
      <c r="G123" s="336"/>
      <c r="H123" s="336"/>
      <c r="I123" s="337"/>
    </row>
    <row r="124" spans="5:9" ht="15.75" thickBot="1" x14ac:dyDescent="0.3">
      <c r="E124" s="19" t="s">
        <v>75</v>
      </c>
      <c r="F124" s="347" t="s">
        <v>472</v>
      </c>
      <c r="G124" s="348"/>
      <c r="H124" s="348"/>
      <c r="I124" s="349"/>
    </row>
    <row r="125" spans="5:9" x14ac:dyDescent="0.25">
      <c r="E125" s="350"/>
      <c r="F125" s="20">
        <v>2018</v>
      </c>
      <c r="G125" s="20">
        <v>2019</v>
      </c>
      <c r="H125" s="20">
        <v>2020</v>
      </c>
      <c r="I125" s="20">
        <v>2021</v>
      </c>
    </row>
    <row r="126" spans="5:9" ht="15.75" thickBot="1" x14ac:dyDescent="0.3">
      <c r="E126" s="351"/>
      <c r="F126" s="21" t="s">
        <v>42</v>
      </c>
      <c r="G126" s="21" t="s">
        <v>43</v>
      </c>
      <c r="H126" s="21" t="s">
        <v>43</v>
      </c>
      <c r="I126" s="21" t="s">
        <v>43</v>
      </c>
    </row>
    <row r="127" spans="5:9" ht="15.75" thickBot="1" x14ac:dyDescent="0.3">
      <c r="E127" s="19" t="s">
        <v>77</v>
      </c>
      <c r="F127" s="22">
        <v>70</v>
      </c>
      <c r="G127" s="22">
        <v>75</v>
      </c>
      <c r="H127" s="22">
        <v>78</v>
      </c>
      <c r="I127" s="22">
        <v>80</v>
      </c>
    </row>
    <row r="128" spans="5:9" ht="15.75" thickBot="1" x14ac:dyDescent="0.3">
      <c r="E128" s="19" t="s">
        <v>78</v>
      </c>
      <c r="F128" s="22">
        <v>21600</v>
      </c>
      <c r="G128" s="22">
        <v>21600</v>
      </c>
      <c r="H128" s="22">
        <v>23200</v>
      </c>
      <c r="I128" s="22">
        <v>23620</v>
      </c>
    </row>
    <row r="129" spans="5:9" ht="15.75" thickBot="1" x14ac:dyDescent="0.3">
      <c r="E129" s="19" t="s">
        <v>79</v>
      </c>
      <c r="F129" s="22">
        <f>F128/F127</f>
        <v>308.57142857142856</v>
      </c>
      <c r="G129" s="22">
        <f t="shared" ref="G129:I129" si="14">G128/G127</f>
        <v>288</v>
      </c>
      <c r="H129" s="22">
        <f t="shared" si="14"/>
        <v>297.43589743589746</v>
      </c>
      <c r="I129" s="22">
        <f t="shared" si="14"/>
        <v>295.25</v>
      </c>
    </row>
    <row r="130" spans="5:9" ht="15.75" thickBot="1" x14ac:dyDescent="0.3">
      <c r="E130" s="19" t="s">
        <v>80</v>
      </c>
      <c r="F130" s="23" t="s">
        <v>81</v>
      </c>
      <c r="G130" s="13">
        <f>G127/F127-1</f>
        <v>7.1428571428571397E-2</v>
      </c>
      <c r="H130" s="13">
        <f t="shared" ref="H130:I132" si="15">H127/G127-1</f>
        <v>4.0000000000000036E-2</v>
      </c>
      <c r="I130" s="13">
        <f t="shared" si="15"/>
        <v>2.564102564102555E-2</v>
      </c>
    </row>
    <row r="131" spans="5:9" ht="15.75" thickBot="1" x14ac:dyDescent="0.3">
      <c r="E131" s="19" t="s">
        <v>82</v>
      </c>
      <c r="F131" s="23" t="s">
        <v>81</v>
      </c>
      <c r="G131" s="13">
        <f>G128/F128-1</f>
        <v>0</v>
      </c>
      <c r="H131" s="13">
        <f t="shared" si="15"/>
        <v>7.4074074074074181E-2</v>
      </c>
      <c r="I131" s="13">
        <f t="shared" si="15"/>
        <v>1.8103448275861966E-2</v>
      </c>
    </row>
    <row r="132" spans="5:9" ht="15.75" thickBot="1" x14ac:dyDescent="0.3">
      <c r="E132" s="19" t="s">
        <v>83</v>
      </c>
      <c r="F132" s="23" t="s">
        <v>81</v>
      </c>
      <c r="G132" s="13">
        <f>G129/F129-1</f>
        <v>-6.6666666666666652E-2</v>
      </c>
      <c r="H132" s="13">
        <f t="shared" si="15"/>
        <v>3.2763532763532943E-2</v>
      </c>
      <c r="I132" s="13">
        <f t="shared" si="15"/>
        <v>-7.3491379310345328E-3</v>
      </c>
    </row>
    <row r="133" spans="5:9" ht="15.75" thickBot="1" x14ac:dyDescent="0.3">
      <c r="E133" s="338" t="s">
        <v>84</v>
      </c>
      <c r="F133" s="339"/>
      <c r="G133" s="339"/>
      <c r="H133" s="339"/>
      <c r="I133" s="340"/>
    </row>
    <row r="134" spans="5:9" x14ac:dyDescent="0.25">
      <c r="E134" s="350"/>
      <c r="F134" s="20">
        <v>2018</v>
      </c>
      <c r="G134" s="20">
        <v>2019</v>
      </c>
      <c r="H134" s="20">
        <v>2020</v>
      </c>
      <c r="I134" s="20">
        <v>2021</v>
      </c>
    </row>
    <row r="135" spans="5:9" ht="15.75" thickBot="1" x14ac:dyDescent="0.3">
      <c r="E135" s="351"/>
      <c r="F135" s="21" t="s">
        <v>42</v>
      </c>
      <c r="G135" s="21" t="s">
        <v>43</v>
      </c>
      <c r="H135" s="21" t="s">
        <v>43</v>
      </c>
      <c r="I135" s="21" t="s">
        <v>43</v>
      </c>
    </row>
    <row r="136" spans="5:9" ht="15.75" thickBot="1" x14ac:dyDescent="0.3">
      <c r="E136" s="24" t="s">
        <v>85</v>
      </c>
      <c r="F136" s="25">
        <v>13200</v>
      </c>
      <c r="G136" s="25">
        <v>13200</v>
      </c>
      <c r="H136" s="25">
        <v>14000</v>
      </c>
      <c r="I136" s="25">
        <f t="shared" ref="I136" si="16">3%*H136+H136</f>
        <v>14420</v>
      </c>
    </row>
    <row r="137" spans="5:9" ht="15.75" thickBot="1" x14ac:dyDescent="0.3">
      <c r="E137" s="24" t="s">
        <v>86</v>
      </c>
      <c r="F137" s="25">
        <v>3000</v>
      </c>
      <c r="G137" s="25">
        <v>3000</v>
      </c>
      <c r="H137" s="25">
        <v>3300</v>
      </c>
      <c r="I137" s="25">
        <v>3300</v>
      </c>
    </row>
    <row r="138" spans="5:9" ht="15.75" thickBot="1" x14ac:dyDescent="0.3">
      <c r="E138" s="24" t="s">
        <v>87</v>
      </c>
      <c r="F138" s="25">
        <v>3400</v>
      </c>
      <c r="G138" s="25">
        <v>3400</v>
      </c>
      <c r="H138" s="25">
        <v>3400</v>
      </c>
      <c r="I138" s="25">
        <v>3400</v>
      </c>
    </row>
    <row r="139" spans="5:9" ht="15.75" thickBot="1" x14ac:dyDescent="0.3">
      <c r="E139" s="24" t="s">
        <v>88</v>
      </c>
      <c r="F139" s="25"/>
      <c r="G139" s="25"/>
      <c r="H139" s="25"/>
      <c r="I139" s="25"/>
    </row>
    <row r="140" spans="5:9" ht="15.75" thickBot="1" x14ac:dyDescent="0.3">
      <c r="E140" s="24" t="s">
        <v>89</v>
      </c>
      <c r="F140" s="25"/>
      <c r="G140" s="25"/>
      <c r="H140" s="25"/>
      <c r="I140" s="25"/>
    </row>
    <row r="141" spans="5:9" ht="15.75" thickBot="1" x14ac:dyDescent="0.3">
      <c r="E141" s="24" t="s">
        <v>90</v>
      </c>
      <c r="F141" s="26">
        <v>2000</v>
      </c>
      <c r="G141" s="25">
        <v>2000</v>
      </c>
      <c r="H141" s="25">
        <v>2500</v>
      </c>
      <c r="I141" s="25">
        <v>2500</v>
      </c>
    </row>
    <row r="142" spans="5:9" ht="15.75" thickBot="1" x14ac:dyDescent="0.3">
      <c r="E142" s="24" t="s">
        <v>91</v>
      </c>
      <c r="F142" s="25"/>
      <c r="G142" s="25"/>
      <c r="H142" s="25"/>
      <c r="I142" s="25"/>
    </row>
    <row r="143" spans="5:9" ht="15.75" thickBot="1" x14ac:dyDescent="0.3">
      <c r="E143" s="27" t="s">
        <v>92</v>
      </c>
      <c r="F143" s="25">
        <f>SUM(F136:F142)</f>
        <v>21600</v>
      </c>
      <c r="G143" s="25">
        <f>SUM(G136:G142)</f>
        <v>21600</v>
      </c>
      <c r="H143" s="25">
        <f>SUM(H136:H142)</f>
        <v>23200</v>
      </c>
      <c r="I143" s="25">
        <f>SUM(I136:I142)</f>
        <v>23620</v>
      </c>
    </row>
    <row r="144" spans="5:9" ht="15.75" thickBot="1" x14ac:dyDescent="0.3">
      <c r="E144" s="28" t="s">
        <v>93</v>
      </c>
      <c r="F144" s="28"/>
      <c r="G144" s="28"/>
      <c r="H144" s="28"/>
      <c r="I144" s="28"/>
    </row>
    <row r="145" spans="5:9" ht="15.75" thickBot="1" x14ac:dyDescent="0.3">
      <c r="E145" s="174" t="s">
        <v>473</v>
      </c>
      <c r="F145" s="344" t="s">
        <v>474</v>
      </c>
      <c r="G145" s="345"/>
      <c r="H145" s="345"/>
      <c r="I145" s="346"/>
    </row>
    <row r="146" spans="5:9" ht="15.75" thickBot="1" x14ac:dyDescent="0.3">
      <c r="E146" s="19" t="s">
        <v>73</v>
      </c>
      <c r="F146" s="335" t="s">
        <v>475</v>
      </c>
      <c r="G146" s="336"/>
      <c r="H146" s="336"/>
      <c r="I146" s="337"/>
    </row>
    <row r="147" spans="5:9" ht="15.75" thickBot="1" x14ac:dyDescent="0.3">
      <c r="E147" s="19" t="s">
        <v>75</v>
      </c>
      <c r="F147" s="347" t="s">
        <v>476</v>
      </c>
      <c r="G147" s="348"/>
      <c r="H147" s="348"/>
      <c r="I147" s="349"/>
    </row>
    <row r="148" spans="5:9" ht="15.75" thickBot="1" x14ac:dyDescent="0.3">
      <c r="E148" s="19" t="s">
        <v>77</v>
      </c>
      <c r="F148" s="22">
        <v>220</v>
      </c>
      <c r="G148" s="22">
        <v>230</v>
      </c>
      <c r="H148" s="22">
        <v>240</v>
      </c>
      <c r="I148" s="22">
        <v>250</v>
      </c>
    </row>
    <row r="149" spans="5:9" x14ac:dyDescent="0.25">
      <c r="E149" s="350"/>
      <c r="F149" s="20">
        <v>2018</v>
      </c>
      <c r="G149" s="20">
        <v>2019</v>
      </c>
      <c r="H149" s="20">
        <v>2020</v>
      </c>
      <c r="I149" s="20">
        <v>2021</v>
      </c>
    </row>
    <row r="150" spans="5:9" ht="15.75" thickBot="1" x14ac:dyDescent="0.3">
      <c r="E150" s="351"/>
      <c r="F150" s="21" t="s">
        <v>42</v>
      </c>
      <c r="G150" s="21" t="s">
        <v>43</v>
      </c>
      <c r="H150" s="21" t="s">
        <v>43</v>
      </c>
      <c r="I150" s="21" t="s">
        <v>43</v>
      </c>
    </row>
    <row r="151" spans="5:9" ht="15.75" thickBot="1" x14ac:dyDescent="0.3">
      <c r="E151" s="19" t="s">
        <v>78</v>
      </c>
      <c r="F151" s="22">
        <v>800</v>
      </c>
      <c r="G151" s="22">
        <v>800</v>
      </c>
      <c r="H151" s="22">
        <v>1100</v>
      </c>
      <c r="I151" s="22">
        <v>1200</v>
      </c>
    </row>
    <row r="152" spans="5:9" ht="15.75" thickBot="1" x14ac:dyDescent="0.3">
      <c r="E152" s="19" t="s">
        <v>79</v>
      </c>
      <c r="F152" s="22">
        <f>F151/F148</f>
        <v>3.6363636363636362</v>
      </c>
      <c r="G152" s="22">
        <f>G151/G148</f>
        <v>3.4782608695652173</v>
      </c>
      <c r="H152" s="22">
        <f>H151/H148</f>
        <v>4.583333333333333</v>
      </c>
      <c r="I152" s="22">
        <f>I151/I148</f>
        <v>4.8</v>
      </c>
    </row>
    <row r="153" spans="5:9" ht="15.75" thickBot="1" x14ac:dyDescent="0.3">
      <c r="E153" s="19" t="s">
        <v>80</v>
      </c>
      <c r="F153" s="23"/>
      <c r="G153" s="13">
        <f>G148/F148-1</f>
        <v>4.5454545454545414E-2</v>
      </c>
      <c r="H153" s="13">
        <f>H148/G148-1</f>
        <v>4.3478260869565188E-2</v>
      </c>
      <c r="I153" s="13">
        <f>I148/H148-1</f>
        <v>4.1666666666666741E-2</v>
      </c>
    </row>
    <row r="154" spans="5:9" ht="15.75" thickBot="1" x14ac:dyDescent="0.3">
      <c r="E154" s="19" t="s">
        <v>82</v>
      </c>
      <c r="F154" s="23"/>
      <c r="G154" s="13">
        <f>G151/F151-1</f>
        <v>0</v>
      </c>
      <c r="H154" s="13">
        <f t="shared" ref="H154:I155" si="17">H151/G151-1</f>
        <v>0.375</v>
      </c>
      <c r="I154" s="13">
        <f t="shared" si="17"/>
        <v>9.0909090909090828E-2</v>
      </c>
    </row>
    <row r="155" spans="5:9" ht="15.75" thickBot="1" x14ac:dyDescent="0.3">
      <c r="E155" s="19" t="s">
        <v>83</v>
      </c>
      <c r="F155" s="23"/>
      <c r="G155" s="13">
        <f>G152/F152-1</f>
        <v>-4.3478260869565188E-2</v>
      </c>
      <c r="H155" s="13">
        <f t="shared" si="17"/>
        <v>0.31770833333333326</v>
      </c>
      <c r="I155" s="13">
        <f t="shared" si="17"/>
        <v>4.7272727272727355E-2</v>
      </c>
    </row>
    <row r="156" spans="5:9" ht="15.75" thickBot="1" x14ac:dyDescent="0.3">
      <c r="E156" s="338" t="s">
        <v>366</v>
      </c>
      <c r="F156" s="339"/>
      <c r="G156" s="339"/>
      <c r="H156" s="339"/>
      <c r="I156" s="340"/>
    </row>
    <row r="157" spans="5:9" x14ac:dyDescent="0.25">
      <c r="E157" s="350"/>
      <c r="F157" s="20">
        <v>2018</v>
      </c>
      <c r="G157" s="20">
        <v>2019</v>
      </c>
      <c r="H157" s="20">
        <v>2020</v>
      </c>
      <c r="I157" s="20">
        <v>2021</v>
      </c>
    </row>
    <row r="158" spans="5:9" ht="15.75" thickBot="1" x14ac:dyDescent="0.3">
      <c r="E158" s="351"/>
      <c r="F158" s="21" t="s">
        <v>42</v>
      </c>
      <c r="G158" s="21" t="s">
        <v>43</v>
      </c>
      <c r="H158" s="21" t="s">
        <v>43</v>
      </c>
      <c r="I158" s="21" t="s">
        <v>43</v>
      </c>
    </row>
    <row r="159" spans="5:9" ht="15.75" thickBot="1" x14ac:dyDescent="0.3">
      <c r="E159" s="24" t="s">
        <v>85</v>
      </c>
      <c r="F159" s="25"/>
      <c r="G159" s="25"/>
      <c r="H159" s="25"/>
      <c r="I159" s="25"/>
    </row>
    <row r="160" spans="5:9" ht="15.75" thickBot="1" x14ac:dyDescent="0.3">
      <c r="E160" s="24" t="s">
        <v>86</v>
      </c>
      <c r="F160" s="25"/>
      <c r="G160" s="25"/>
      <c r="H160" s="25"/>
      <c r="I160" s="25"/>
    </row>
    <row r="161" spans="5:9" ht="15.75" thickBot="1" x14ac:dyDescent="0.3">
      <c r="E161" s="24" t="s">
        <v>87</v>
      </c>
      <c r="F161" s="26">
        <v>800</v>
      </c>
      <c r="G161" s="25">
        <v>800</v>
      </c>
      <c r="H161" s="25">
        <v>1100</v>
      </c>
      <c r="I161" s="25">
        <v>1200</v>
      </c>
    </row>
    <row r="162" spans="5:9" ht="15.75" thickBot="1" x14ac:dyDescent="0.3">
      <c r="E162" s="24" t="s">
        <v>88</v>
      </c>
      <c r="F162" s="26"/>
      <c r="G162" s="25"/>
      <c r="H162" s="25"/>
      <c r="I162" s="25"/>
    </row>
    <row r="163" spans="5:9" ht="15.75" thickBot="1" x14ac:dyDescent="0.3">
      <c r="E163" s="24" t="s">
        <v>89</v>
      </c>
      <c r="F163" s="26"/>
      <c r="G163" s="25"/>
      <c r="H163" s="25"/>
      <c r="I163" s="25"/>
    </row>
    <row r="164" spans="5:9" ht="15.75" thickBot="1" x14ac:dyDescent="0.3">
      <c r="E164" s="24" t="s">
        <v>90</v>
      </c>
      <c r="F164" s="26"/>
      <c r="G164" s="25"/>
      <c r="H164" s="25"/>
      <c r="I164" s="25"/>
    </row>
    <row r="165" spans="5:9" ht="15.75" thickBot="1" x14ac:dyDescent="0.3">
      <c r="E165" s="24" t="s">
        <v>91</v>
      </c>
      <c r="F165" s="26"/>
      <c r="G165" s="25"/>
      <c r="H165" s="25"/>
      <c r="I165" s="25"/>
    </row>
    <row r="166" spans="5:9" ht="15.75" thickBot="1" x14ac:dyDescent="0.3">
      <c r="E166" s="175" t="s">
        <v>177</v>
      </c>
      <c r="F166" s="26">
        <f>F165+F164+F163+F162+F161+F160+F159</f>
        <v>800</v>
      </c>
      <c r="G166" s="26">
        <f>G165+G164+G163+G162+G161+G160+G159</f>
        <v>800</v>
      </c>
      <c r="H166" s="26">
        <f>H165+H164+H163+H162+H161+H160+H159</f>
        <v>1100</v>
      </c>
      <c r="I166" s="26">
        <f>I165+I164+I163+I162+I161+I160+I159</f>
        <v>1200</v>
      </c>
    </row>
    <row r="167" spans="5:9" ht="15.75" thickBot="1" x14ac:dyDescent="0.3">
      <c r="E167" s="28" t="s">
        <v>93</v>
      </c>
      <c r="F167" s="29">
        <f>IF(F166-F151=0,0,"Error")</f>
        <v>0</v>
      </c>
      <c r="G167" s="29">
        <f>IF(G166-G151=0,0,"Error")</f>
        <v>0</v>
      </c>
      <c r="H167" s="29">
        <f>IF(H166-H151=0,0,"Error")</f>
        <v>0</v>
      </c>
      <c r="I167" s="29">
        <f>IF(I166-I151=0,0,"Error")</f>
        <v>0</v>
      </c>
    </row>
    <row r="168" spans="5:9" ht="15.75" thickBot="1" x14ac:dyDescent="0.3">
      <c r="E168" s="341" t="s">
        <v>105</v>
      </c>
      <c r="F168" s="342"/>
      <c r="G168" s="342"/>
      <c r="H168" s="342"/>
      <c r="I168" s="343"/>
    </row>
    <row r="169" spans="5:9" ht="15.75" thickBot="1" x14ac:dyDescent="0.3">
      <c r="E169" s="341" t="s">
        <v>106</v>
      </c>
      <c r="F169" s="342"/>
      <c r="G169" s="342"/>
      <c r="H169" s="342"/>
      <c r="I169" s="343"/>
    </row>
    <row r="170" spans="5:9" ht="15.75" thickBot="1" x14ac:dyDescent="0.3">
      <c r="E170" s="30" t="s">
        <v>107</v>
      </c>
      <c r="F170" s="481" t="s">
        <v>108</v>
      </c>
      <c r="G170" s="482"/>
      <c r="H170" s="482"/>
      <c r="I170" s="483"/>
    </row>
    <row r="171" spans="5:9" ht="15.75" thickBot="1" x14ac:dyDescent="0.3">
      <c r="E171" s="18" t="s">
        <v>109</v>
      </c>
      <c r="F171" s="502" t="s">
        <v>375</v>
      </c>
      <c r="G171" s="503"/>
      <c r="H171" s="503"/>
      <c r="I171" s="504"/>
    </row>
    <row r="172" spans="5:9" ht="15.75" thickBot="1" x14ac:dyDescent="0.3">
      <c r="E172" s="19" t="s">
        <v>73</v>
      </c>
      <c r="F172" s="487" t="s">
        <v>375</v>
      </c>
      <c r="G172" s="488"/>
      <c r="H172" s="488"/>
      <c r="I172" s="489"/>
    </row>
    <row r="173" spans="5:9" ht="15.75" thickBot="1" x14ac:dyDescent="0.3">
      <c r="E173" s="19" t="s">
        <v>75</v>
      </c>
      <c r="F173" s="502" t="s">
        <v>375</v>
      </c>
      <c r="G173" s="503"/>
      <c r="H173" s="503"/>
      <c r="I173" s="504"/>
    </row>
    <row r="174" spans="5:9" x14ac:dyDescent="0.25">
      <c r="E174" s="350"/>
      <c r="F174" s="20">
        <v>2018</v>
      </c>
      <c r="G174" s="20">
        <v>2019</v>
      </c>
      <c r="H174" s="20">
        <v>2020</v>
      </c>
      <c r="I174" s="20">
        <v>2021</v>
      </c>
    </row>
    <row r="175" spans="5:9" ht="15.75" thickBot="1" x14ac:dyDescent="0.3">
      <c r="E175" s="351"/>
      <c r="F175" s="21" t="s">
        <v>42</v>
      </c>
      <c r="G175" s="21" t="s">
        <v>43</v>
      </c>
      <c r="H175" s="21" t="s">
        <v>43</v>
      </c>
      <c r="I175" s="21" t="s">
        <v>43</v>
      </c>
    </row>
    <row r="176" spans="5:9" ht="15.75" thickBot="1" x14ac:dyDescent="0.3">
      <c r="E176" s="19" t="s">
        <v>77</v>
      </c>
      <c r="F176" s="22"/>
      <c r="G176" s="22"/>
      <c r="H176" s="22"/>
      <c r="I176" s="22"/>
    </row>
    <row r="177" spans="5:9" ht="15.75" thickBot="1" x14ac:dyDescent="0.3">
      <c r="E177" s="19" t="s">
        <v>78</v>
      </c>
      <c r="F177" s="22">
        <v>7000</v>
      </c>
      <c r="G177" s="22">
        <v>9774</v>
      </c>
      <c r="H177" s="22"/>
      <c r="I177" s="22"/>
    </row>
    <row r="178" spans="5:9" ht="15.75" thickBot="1" x14ac:dyDescent="0.3">
      <c r="E178" s="19" t="s">
        <v>79</v>
      </c>
      <c r="F178" s="22" t="e">
        <f>F177/F176</f>
        <v>#DIV/0!</v>
      </c>
      <c r="G178" s="22" t="e">
        <f t="shared" ref="G178:I178" si="18">G177/G176</f>
        <v>#DIV/0!</v>
      </c>
      <c r="H178" s="22" t="e">
        <f t="shared" si="18"/>
        <v>#DIV/0!</v>
      </c>
      <c r="I178" s="22" t="e">
        <f t="shared" si="18"/>
        <v>#DIV/0!</v>
      </c>
    </row>
    <row r="179" spans="5:9" ht="15.75" thickBot="1" x14ac:dyDescent="0.3">
      <c r="E179" s="19" t="s">
        <v>80</v>
      </c>
      <c r="F179" s="23" t="s">
        <v>81</v>
      </c>
      <c r="G179" s="13" t="e">
        <f>G176/F176-1</f>
        <v>#DIV/0!</v>
      </c>
      <c r="H179" s="13" t="e">
        <f t="shared" ref="H179:I181" si="19">H176/G176-1</f>
        <v>#DIV/0!</v>
      </c>
      <c r="I179" s="13" t="e">
        <f t="shared" si="19"/>
        <v>#DIV/0!</v>
      </c>
    </row>
    <row r="180" spans="5:9" ht="15.75" thickBot="1" x14ac:dyDescent="0.3">
      <c r="E180" s="19" t="s">
        <v>82</v>
      </c>
      <c r="F180" s="23" t="s">
        <v>81</v>
      </c>
      <c r="G180" s="13">
        <f>G177/F177-1</f>
        <v>0.39628571428571435</v>
      </c>
      <c r="H180" s="13">
        <f t="shared" si="19"/>
        <v>-1</v>
      </c>
      <c r="I180" s="13" t="e">
        <f t="shared" si="19"/>
        <v>#DIV/0!</v>
      </c>
    </row>
    <row r="181" spans="5:9" ht="15.75" thickBot="1" x14ac:dyDescent="0.3">
      <c r="E181" s="19" t="s">
        <v>83</v>
      </c>
      <c r="F181" s="23" t="s">
        <v>81</v>
      </c>
      <c r="G181" s="13" t="e">
        <f>G178/F178-1</f>
        <v>#DIV/0!</v>
      </c>
      <c r="H181" s="13" t="e">
        <f t="shared" si="19"/>
        <v>#DIV/0!</v>
      </c>
      <c r="I181" s="13" t="e">
        <f t="shared" si="19"/>
        <v>#DIV/0!</v>
      </c>
    </row>
    <row r="182" spans="5:9" ht="15.75" thickBot="1" x14ac:dyDescent="0.3">
      <c r="E182" s="338" t="s">
        <v>84</v>
      </c>
      <c r="F182" s="339"/>
      <c r="G182" s="339"/>
      <c r="H182" s="339"/>
      <c r="I182" s="340"/>
    </row>
    <row r="183" spans="5:9" x14ac:dyDescent="0.25">
      <c r="E183" s="350"/>
      <c r="F183" s="20">
        <v>2018</v>
      </c>
      <c r="G183" s="20">
        <v>2019</v>
      </c>
      <c r="H183" s="20">
        <v>2020</v>
      </c>
      <c r="I183" s="20">
        <v>2021</v>
      </c>
    </row>
    <row r="184" spans="5:9" ht="15.75" thickBot="1" x14ac:dyDescent="0.3">
      <c r="E184" s="351"/>
      <c r="F184" s="21" t="s">
        <v>42</v>
      </c>
      <c r="G184" s="21" t="s">
        <v>43</v>
      </c>
      <c r="H184" s="21" t="s">
        <v>43</v>
      </c>
      <c r="I184" s="21" t="s">
        <v>43</v>
      </c>
    </row>
    <row r="185" spans="5:9" ht="15.75" thickBot="1" x14ac:dyDescent="0.3">
      <c r="E185" s="24" t="s">
        <v>170</v>
      </c>
      <c r="F185" s="25">
        <v>7000</v>
      </c>
      <c r="G185" s="25">
        <v>7000</v>
      </c>
      <c r="H185" s="25"/>
      <c r="I185" s="25"/>
    </row>
    <row r="186" spans="5:9" ht="15.75" thickBot="1" x14ac:dyDescent="0.3">
      <c r="E186" s="24" t="s">
        <v>113</v>
      </c>
      <c r="F186" s="26"/>
      <c r="G186" s="142">
        <v>2774</v>
      </c>
      <c r="H186" s="25"/>
      <c r="I186" s="25"/>
    </row>
    <row r="187" spans="5:9" ht="15.75" thickBot="1" x14ac:dyDescent="0.3">
      <c r="E187" s="27" t="s">
        <v>92</v>
      </c>
      <c r="F187" s="26">
        <f>F186+F185</f>
        <v>7000</v>
      </c>
      <c r="G187" s="26">
        <f t="shared" ref="G187" si="20">G186+G185</f>
        <v>9774</v>
      </c>
      <c r="H187" s="26"/>
      <c r="I187" s="26"/>
    </row>
    <row r="188" spans="5:9" x14ac:dyDescent="0.25">
      <c r="E188" s="355" t="s">
        <v>114</v>
      </c>
      <c r="F188" s="358"/>
      <c r="G188" s="359"/>
      <c r="H188" s="359"/>
      <c r="I188" s="360"/>
    </row>
    <row r="189" spans="5:9" x14ac:dyDescent="0.25">
      <c r="E189" s="356"/>
      <c r="F189" s="361"/>
      <c r="G189" s="362"/>
      <c r="H189" s="362"/>
      <c r="I189" s="363"/>
    </row>
    <row r="190" spans="5:9" ht="15.75" thickBot="1" x14ac:dyDescent="0.3">
      <c r="E190" s="357"/>
      <c r="F190" s="364"/>
      <c r="G190" s="365"/>
      <c r="H190" s="365"/>
      <c r="I190" s="366"/>
    </row>
    <row r="191" spans="5:9" ht="15.75" thickBot="1" x14ac:dyDescent="0.3">
      <c r="E191" s="341" t="s">
        <v>70</v>
      </c>
      <c r="F191" s="342"/>
      <c r="G191" s="342"/>
      <c r="H191" s="342"/>
      <c r="I191" s="343"/>
    </row>
    <row r="192" spans="5:9" ht="15.75" thickBot="1" x14ac:dyDescent="0.3">
      <c r="E192" s="18" t="s">
        <v>71</v>
      </c>
      <c r="F192" s="370" t="s">
        <v>480</v>
      </c>
      <c r="G192" s="371"/>
      <c r="H192" s="371"/>
      <c r="I192" s="372"/>
    </row>
    <row r="193" spans="5:9" ht="15.75" thickBot="1" x14ac:dyDescent="0.3">
      <c r="E193" s="19" t="s">
        <v>73</v>
      </c>
      <c r="F193" s="540" t="s">
        <v>481</v>
      </c>
      <c r="G193" s="541"/>
      <c r="H193" s="541"/>
      <c r="I193" s="542"/>
    </row>
    <row r="194" spans="5:9" ht="15.75" thickBot="1" x14ac:dyDescent="0.3">
      <c r="E194" s="19" t="s">
        <v>75</v>
      </c>
      <c r="F194" s="347" t="s">
        <v>482</v>
      </c>
      <c r="G194" s="348"/>
      <c r="H194" s="348"/>
      <c r="I194" s="349"/>
    </row>
    <row r="195" spans="5:9" x14ac:dyDescent="0.25">
      <c r="E195" s="350"/>
      <c r="F195" s="20">
        <v>2018</v>
      </c>
      <c r="G195" s="20">
        <v>2019</v>
      </c>
      <c r="H195" s="20">
        <v>2020</v>
      </c>
      <c r="I195" s="20">
        <v>2021</v>
      </c>
    </row>
    <row r="196" spans="5:9" ht="15.75" thickBot="1" x14ac:dyDescent="0.3">
      <c r="E196" s="351"/>
      <c r="F196" s="21" t="s">
        <v>42</v>
      </c>
      <c r="G196" s="21" t="s">
        <v>43</v>
      </c>
      <c r="H196" s="21" t="s">
        <v>43</v>
      </c>
      <c r="I196" s="21" t="s">
        <v>43</v>
      </c>
    </row>
    <row r="197" spans="5:9" ht="15.75" thickBot="1" x14ac:dyDescent="0.3">
      <c r="E197" s="19" t="s">
        <v>77</v>
      </c>
      <c r="F197" s="22">
        <v>1650</v>
      </c>
      <c r="G197" s="22">
        <v>2000</v>
      </c>
      <c r="H197" s="22">
        <v>2150</v>
      </c>
      <c r="I197" s="22">
        <v>2170</v>
      </c>
    </row>
    <row r="198" spans="5:9" ht="15.75" thickBot="1" x14ac:dyDescent="0.3">
      <c r="E198" s="19" t="s">
        <v>78</v>
      </c>
      <c r="F198" s="22">
        <v>29240</v>
      </c>
      <c r="G198" s="22">
        <v>29240</v>
      </c>
      <c r="H198" s="22">
        <v>29240</v>
      </c>
      <c r="I198" s="22">
        <v>29240</v>
      </c>
    </row>
    <row r="199" spans="5:9" ht="15.75" thickBot="1" x14ac:dyDescent="0.3">
      <c r="E199" s="19" t="s">
        <v>79</v>
      </c>
      <c r="F199" s="22">
        <f>F198/F197</f>
        <v>17.721212121212123</v>
      </c>
      <c r="G199" s="22">
        <f t="shared" ref="G199:I199" si="21">G198/G197</f>
        <v>14.62</v>
      </c>
      <c r="H199" s="22">
        <f t="shared" si="21"/>
        <v>13.6</v>
      </c>
      <c r="I199" s="22">
        <f t="shared" si="21"/>
        <v>13.474654377880185</v>
      </c>
    </row>
    <row r="200" spans="5:9" ht="15.75" thickBot="1" x14ac:dyDescent="0.3">
      <c r="E200" s="19" t="s">
        <v>80</v>
      </c>
      <c r="F200" s="23" t="s">
        <v>81</v>
      </c>
      <c r="G200" s="13">
        <f>G197/F197-1</f>
        <v>0.21212121212121215</v>
      </c>
      <c r="H200" s="13">
        <f t="shared" ref="H200:I202" si="22">H197/G197-1</f>
        <v>7.4999999999999956E-2</v>
      </c>
      <c r="I200" s="13">
        <f t="shared" si="22"/>
        <v>9.302325581395321E-3</v>
      </c>
    </row>
    <row r="201" spans="5:9" ht="15.75" thickBot="1" x14ac:dyDescent="0.3">
      <c r="E201" s="19" t="s">
        <v>82</v>
      </c>
      <c r="F201" s="23" t="s">
        <v>81</v>
      </c>
      <c r="G201" s="13">
        <f>G198/F198-1</f>
        <v>0</v>
      </c>
      <c r="H201" s="13">
        <f t="shared" si="22"/>
        <v>0</v>
      </c>
      <c r="I201" s="13">
        <f t="shared" si="22"/>
        <v>0</v>
      </c>
    </row>
    <row r="202" spans="5:9" ht="15.75" thickBot="1" x14ac:dyDescent="0.3">
      <c r="E202" s="19" t="s">
        <v>83</v>
      </c>
      <c r="F202" s="23" t="s">
        <v>81</v>
      </c>
      <c r="G202" s="13">
        <f>G199/F199-1</f>
        <v>-0.17500000000000016</v>
      </c>
      <c r="H202" s="13">
        <f t="shared" si="22"/>
        <v>-6.9767441860465129E-2</v>
      </c>
      <c r="I202" s="13">
        <f t="shared" si="22"/>
        <v>-9.2165898617511122E-3</v>
      </c>
    </row>
    <row r="203" spans="5:9" ht="15.75" thickBot="1" x14ac:dyDescent="0.3">
      <c r="E203" s="338" t="s">
        <v>84</v>
      </c>
      <c r="F203" s="339"/>
      <c r="G203" s="339"/>
      <c r="H203" s="339"/>
      <c r="I203" s="340"/>
    </row>
    <row r="204" spans="5:9" x14ac:dyDescent="0.25">
      <c r="E204" s="350"/>
      <c r="F204" s="20">
        <v>2018</v>
      </c>
      <c r="G204" s="20">
        <v>2019</v>
      </c>
      <c r="H204" s="20">
        <v>2020</v>
      </c>
      <c r="I204" s="20">
        <v>2021</v>
      </c>
    </row>
    <row r="205" spans="5:9" ht="15.75" thickBot="1" x14ac:dyDescent="0.3">
      <c r="E205" s="351"/>
      <c r="F205" s="21" t="s">
        <v>42</v>
      </c>
      <c r="G205" s="21" t="s">
        <v>43</v>
      </c>
      <c r="H205" s="21" t="s">
        <v>43</v>
      </c>
      <c r="I205" s="21" t="s">
        <v>43</v>
      </c>
    </row>
    <row r="206" spans="5:9" ht="15.75" thickBot="1" x14ac:dyDescent="0.3">
      <c r="E206" s="24" t="s">
        <v>85</v>
      </c>
      <c r="F206" s="25">
        <v>15500</v>
      </c>
      <c r="G206" s="25">
        <v>15500</v>
      </c>
      <c r="H206" s="25">
        <v>15500</v>
      </c>
      <c r="I206" s="25">
        <v>15500</v>
      </c>
    </row>
    <row r="207" spans="5:9" ht="15.75" thickBot="1" x14ac:dyDescent="0.3">
      <c r="E207" s="24" t="s">
        <v>86</v>
      </c>
      <c r="F207" s="25">
        <v>3000</v>
      </c>
      <c r="G207" s="25">
        <v>3000</v>
      </c>
      <c r="H207" s="25">
        <v>3000</v>
      </c>
      <c r="I207" s="25">
        <v>3000</v>
      </c>
    </row>
    <row r="208" spans="5:9" ht="15.75" thickBot="1" x14ac:dyDescent="0.3">
      <c r="E208" s="24" t="s">
        <v>87</v>
      </c>
      <c r="F208" s="26">
        <v>2240</v>
      </c>
      <c r="G208" s="26">
        <v>2240</v>
      </c>
      <c r="H208" s="26">
        <v>2240</v>
      </c>
      <c r="I208" s="26">
        <v>2240</v>
      </c>
    </row>
    <row r="209" spans="5:9" ht="15.75" thickBot="1" x14ac:dyDescent="0.3">
      <c r="E209" s="24" t="s">
        <v>88</v>
      </c>
      <c r="F209" s="26">
        <v>0</v>
      </c>
      <c r="G209" s="26">
        <v>0</v>
      </c>
      <c r="H209" s="26">
        <v>0</v>
      </c>
      <c r="I209" s="26">
        <v>0</v>
      </c>
    </row>
    <row r="210" spans="5:9" ht="15.75" thickBot="1" x14ac:dyDescent="0.3">
      <c r="E210" s="24" t="s">
        <v>89</v>
      </c>
      <c r="F210" s="26">
        <v>0</v>
      </c>
      <c r="G210" s="26">
        <v>0</v>
      </c>
      <c r="H210" s="26">
        <v>0</v>
      </c>
      <c r="I210" s="26">
        <v>0</v>
      </c>
    </row>
    <row r="211" spans="5:9" ht="15.75" thickBot="1" x14ac:dyDescent="0.3">
      <c r="E211" s="24" t="s">
        <v>90</v>
      </c>
      <c r="F211" s="26">
        <v>8500</v>
      </c>
      <c r="G211" s="26">
        <v>8500</v>
      </c>
      <c r="H211" s="26">
        <v>8500</v>
      </c>
      <c r="I211" s="26">
        <v>8500</v>
      </c>
    </row>
    <row r="212" spans="5:9" ht="15.75" thickBot="1" x14ac:dyDescent="0.3">
      <c r="E212" s="24" t="s">
        <v>91</v>
      </c>
      <c r="F212" s="26">
        <v>0</v>
      </c>
      <c r="G212" s="26">
        <v>0</v>
      </c>
      <c r="H212" s="26">
        <v>0</v>
      </c>
      <c r="I212" s="26">
        <v>0</v>
      </c>
    </row>
    <row r="213" spans="5:9" ht="15.75" thickBot="1" x14ac:dyDescent="0.3">
      <c r="E213" s="27" t="s">
        <v>92</v>
      </c>
      <c r="F213" s="26">
        <f>F212+F211+F210+F209+F208+F207+F206</f>
        <v>29240</v>
      </c>
      <c r="G213" s="26">
        <f>G212+G211+G210+G209+G208+G207+G206</f>
        <v>29240</v>
      </c>
      <c r="H213" s="26">
        <f>H212+H211+H210+H209+H208+H207+H206</f>
        <v>29240</v>
      </c>
      <c r="I213" s="26">
        <f>I212+I211+I210+I209+I208+I207+I206</f>
        <v>29240</v>
      </c>
    </row>
    <row r="214" spans="5:9" ht="15.75" thickBot="1" x14ac:dyDescent="0.3">
      <c r="E214" s="28" t="s">
        <v>93</v>
      </c>
      <c r="F214" s="29">
        <f>IF(F213-F198=0,0,"Error")</f>
        <v>0</v>
      </c>
      <c r="G214" s="29">
        <f>IF(G213-G198=0,0,"Error")</f>
        <v>0</v>
      </c>
      <c r="H214" s="29">
        <f>IF(H213-H198=0,0,"Error")</f>
        <v>0</v>
      </c>
      <c r="I214" s="29">
        <f>IF(I213-I198=0,0,"Error")</f>
        <v>0</v>
      </c>
    </row>
    <row r="215" spans="5:9" ht="15.75" thickBot="1" x14ac:dyDescent="0.3">
      <c r="E215" s="174" t="s">
        <v>449</v>
      </c>
      <c r="F215" s="370" t="s">
        <v>483</v>
      </c>
      <c r="G215" s="345"/>
      <c r="H215" s="345"/>
      <c r="I215" s="346"/>
    </row>
    <row r="216" spans="5:9" ht="40.5" customHeight="1" thickBot="1" x14ac:dyDescent="0.3">
      <c r="E216" s="19" t="s">
        <v>73</v>
      </c>
      <c r="F216" s="335" t="s">
        <v>484</v>
      </c>
      <c r="G216" s="336"/>
      <c r="H216" s="336"/>
      <c r="I216" s="337"/>
    </row>
    <row r="217" spans="5:9" ht="15.75" thickBot="1" x14ac:dyDescent="0.3">
      <c r="E217" s="19" t="s">
        <v>75</v>
      </c>
      <c r="F217" s="347" t="s">
        <v>482</v>
      </c>
      <c r="G217" s="348"/>
      <c r="H217" s="348"/>
      <c r="I217" s="349"/>
    </row>
    <row r="218" spans="5:9" ht="15.75" thickBot="1" x14ac:dyDescent="0.3">
      <c r="E218" s="19" t="s">
        <v>77</v>
      </c>
      <c r="F218" s="22">
        <v>420</v>
      </c>
      <c r="G218" s="22">
        <v>430</v>
      </c>
      <c r="H218" s="22">
        <v>440</v>
      </c>
      <c r="I218" s="22">
        <v>450</v>
      </c>
    </row>
    <row r="219" spans="5:9" x14ac:dyDescent="0.25">
      <c r="E219" s="350"/>
      <c r="F219" s="20">
        <v>2018</v>
      </c>
      <c r="G219" s="20">
        <v>2019</v>
      </c>
      <c r="H219" s="20">
        <v>2020</v>
      </c>
      <c r="I219" s="20">
        <v>2021</v>
      </c>
    </row>
    <row r="220" spans="5:9" ht="15.75" thickBot="1" x14ac:dyDescent="0.3">
      <c r="E220" s="351"/>
      <c r="F220" s="21" t="s">
        <v>42</v>
      </c>
      <c r="G220" s="21" t="s">
        <v>43</v>
      </c>
      <c r="H220" s="21" t="s">
        <v>43</v>
      </c>
      <c r="I220" s="21" t="s">
        <v>43</v>
      </c>
    </row>
    <row r="221" spans="5:9" ht="15.75" thickBot="1" x14ac:dyDescent="0.3">
      <c r="E221" s="19" t="s">
        <v>78</v>
      </c>
      <c r="F221" s="22">
        <v>1760</v>
      </c>
      <c r="G221" s="22">
        <v>1760</v>
      </c>
      <c r="H221" s="22">
        <v>1760</v>
      </c>
      <c r="I221" s="22">
        <v>1760</v>
      </c>
    </row>
    <row r="222" spans="5:9" ht="15.75" thickBot="1" x14ac:dyDescent="0.3">
      <c r="E222" s="19" t="s">
        <v>79</v>
      </c>
      <c r="F222" s="22">
        <f>F221/F218</f>
        <v>4.1904761904761907</v>
      </c>
      <c r="G222" s="22">
        <f>G221/G218</f>
        <v>4.0930232558139537</v>
      </c>
      <c r="H222" s="22">
        <f>H221/H218</f>
        <v>4</v>
      </c>
      <c r="I222" s="22">
        <f>I221/I218</f>
        <v>3.911111111111111</v>
      </c>
    </row>
    <row r="223" spans="5:9" ht="15.75" thickBot="1" x14ac:dyDescent="0.3">
      <c r="E223" s="19" t="s">
        <v>80</v>
      </c>
      <c r="F223" s="23"/>
      <c r="G223" s="13">
        <f>G218/F218-1</f>
        <v>2.3809523809523725E-2</v>
      </c>
      <c r="H223" s="13">
        <f>H218/G218-1</f>
        <v>2.3255813953488413E-2</v>
      </c>
      <c r="I223" s="13">
        <f>I218/H218-1</f>
        <v>2.2727272727272707E-2</v>
      </c>
    </row>
    <row r="224" spans="5:9" ht="15.75" thickBot="1" x14ac:dyDescent="0.3">
      <c r="E224" s="19" t="s">
        <v>82</v>
      </c>
      <c r="F224" s="23"/>
      <c r="G224" s="13">
        <f>G221/F221-1</f>
        <v>0</v>
      </c>
      <c r="H224" s="13">
        <f t="shared" ref="H224:I225" si="23">H221/G221-1</f>
        <v>0</v>
      </c>
      <c r="I224" s="13">
        <f t="shared" si="23"/>
        <v>0</v>
      </c>
    </row>
    <row r="225" spans="5:9" ht="15.75" thickBot="1" x14ac:dyDescent="0.3">
      <c r="E225" s="19" t="s">
        <v>83</v>
      </c>
      <c r="F225" s="23"/>
      <c r="G225" s="13">
        <f>G222/F222-1</f>
        <v>-2.3255813953488413E-2</v>
      </c>
      <c r="H225" s="13">
        <f t="shared" si="23"/>
        <v>-2.2727272727272818E-2</v>
      </c>
      <c r="I225" s="13">
        <f t="shared" si="23"/>
        <v>-2.2222222222222254E-2</v>
      </c>
    </row>
    <row r="226" spans="5:9" ht="15.75" thickBot="1" x14ac:dyDescent="0.3">
      <c r="E226" s="338" t="s">
        <v>452</v>
      </c>
      <c r="F226" s="339"/>
      <c r="G226" s="339"/>
      <c r="H226" s="339"/>
      <c r="I226" s="340"/>
    </row>
    <row r="227" spans="5:9" x14ac:dyDescent="0.25">
      <c r="E227" s="350"/>
      <c r="F227" s="20">
        <v>2018</v>
      </c>
      <c r="G227" s="20">
        <v>2019</v>
      </c>
      <c r="H227" s="20">
        <v>2020</v>
      </c>
      <c r="I227" s="20">
        <v>2021</v>
      </c>
    </row>
    <row r="228" spans="5:9" ht="15.75" thickBot="1" x14ac:dyDescent="0.3">
      <c r="E228" s="351"/>
      <c r="F228" s="21" t="s">
        <v>42</v>
      </c>
      <c r="G228" s="21" t="s">
        <v>43</v>
      </c>
      <c r="H228" s="21" t="s">
        <v>43</v>
      </c>
      <c r="I228" s="21" t="s">
        <v>43</v>
      </c>
    </row>
    <row r="229" spans="5:9" ht="15.75" thickBot="1" x14ac:dyDescent="0.3">
      <c r="E229" s="24" t="s">
        <v>85</v>
      </c>
      <c r="F229" s="25">
        <v>0</v>
      </c>
      <c r="G229" s="25">
        <v>0</v>
      </c>
      <c r="H229" s="25">
        <v>0</v>
      </c>
      <c r="I229" s="25">
        <v>0</v>
      </c>
    </row>
    <row r="230" spans="5:9" ht="15.75" thickBot="1" x14ac:dyDescent="0.3">
      <c r="E230" s="24" t="s">
        <v>86</v>
      </c>
      <c r="F230" s="25">
        <v>0</v>
      </c>
      <c r="G230" s="25">
        <v>0</v>
      </c>
      <c r="H230" s="25">
        <v>0</v>
      </c>
      <c r="I230" s="25">
        <v>0</v>
      </c>
    </row>
    <row r="231" spans="5:9" ht="15.75" thickBot="1" x14ac:dyDescent="0.3">
      <c r="E231" s="24" t="s">
        <v>87</v>
      </c>
      <c r="F231" s="26">
        <v>1760</v>
      </c>
      <c r="G231" s="26">
        <v>1760</v>
      </c>
      <c r="H231" s="26">
        <v>1760</v>
      </c>
      <c r="I231" s="26">
        <v>1760</v>
      </c>
    </row>
    <row r="232" spans="5:9" ht="15.75" thickBot="1" x14ac:dyDescent="0.3">
      <c r="E232" s="24" t="s">
        <v>88</v>
      </c>
      <c r="F232" s="26">
        <v>0</v>
      </c>
      <c r="G232" s="26">
        <v>0</v>
      </c>
      <c r="H232" s="26">
        <v>0</v>
      </c>
      <c r="I232" s="26">
        <v>0</v>
      </c>
    </row>
    <row r="233" spans="5:9" ht="15.75" thickBot="1" x14ac:dyDescent="0.3">
      <c r="E233" s="24" t="s">
        <v>89</v>
      </c>
      <c r="F233" s="26">
        <v>0</v>
      </c>
      <c r="G233" s="26">
        <v>0</v>
      </c>
      <c r="H233" s="26">
        <v>0</v>
      </c>
      <c r="I233" s="26">
        <v>0</v>
      </c>
    </row>
    <row r="234" spans="5:9" ht="15.75" thickBot="1" x14ac:dyDescent="0.3">
      <c r="E234" s="24" t="s">
        <v>90</v>
      </c>
      <c r="F234" s="26">
        <v>0</v>
      </c>
      <c r="G234" s="26">
        <v>0</v>
      </c>
      <c r="H234" s="26">
        <v>0</v>
      </c>
      <c r="I234" s="26">
        <v>0</v>
      </c>
    </row>
    <row r="235" spans="5:9" ht="15.75" thickBot="1" x14ac:dyDescent="0.3">
      <c r="E235" s="24" t="s">
        <v>91</v>
      </c>
      <c r="F235" s="26">
        <v>0</v>
      </c>
      <c r="G235" s="26">
        <v>0</v>
      </c>
      <c r="H235" s="26">
        <v>0</v>
      </c>
      <c r="I235" s="26">
        <v>0</v>
      </c>
    </row>
    <row r="236" spans="5:9" ht="15.75" thickBot="1" x14ac:dyDescent="0.3">
      <c r="E236" s="175" t="s">
        <v>177</v>
      </c>
      <c r="F236" s="26">
        <f>F235+F234+F233+F232+F231+F230+F229</f>
        <v>1760</v>
      </c>
      <c r="G236" s="26">
        <f>G235+G234+G233+G232+G231+G230+G229</f>
        <v>1760</v>
      </c>
      <c r="H236" s="26">
        <f>H235+H234+H233+H232+H231+H230+H229</f>
        <v>1760</v>
      </c>
      <c r="I236" s="26">
        <f>I235+I234+I233+I232+I231+I230+I229</f>
        <v>1760</v>
      </c>
    </row>
    <row r="237" spans="5:9" ht="15.75" thickBot="1" x14ac:dyDescent="0.3">
      <c r="E237" s="28" t="s">
        <v>93</v>
      </c>
      <c r="F237" s="29">
        <f>IF(F236-F221=0,0,"Error")</f>
        <v>0</v>
      </c>
      <c r="G237" s="29">
        <f>IF(G236-G221=0,0,"Error")</f>
        <v>0</v>
      </c>
      <c r="H237" s="29">
        <f>IF(H236-H221=0,0,"Error")</f>
        <v>0</v>
      </c>
      <c r="I237" s="29">
        <f>IF(I236-I221=0,0,"Error")</f>
        <v>0</v>
      </c>
    </row>
    <row r="238" spans="5:9" ht="15.75" thickBot="1" x14ac:dyDescent="0.3">
      <c r="E238" s="341" t="s">
        <v>105</v>
      </c>
      <c r="F238" s="342"/>
      <c r="G238" s="342"/>
      <c r="H238" s="342"/>
      <c r="I238" s="343"/>
    </row>
    <row r="239" spans="5:9" ht="15.75" thickBot="1" x14ac:dyDescent="0.3">
      <c r="E239" s="341" t="s">
        <v>106</v>
      </c>
      <c r="F239" s="342"/>
      <c r="G239" s="342"/>
      <c r="H239" s="342"/>
      <c r="I239" s="343"/>
    </row>
    <row r="240" spans="5:9" ht="15.75" thickBot="1" x14ac:dyDescent="0.3">
      <c r="E240" s="30" t="s">
        <v>107</v>
      </c>
      <c r="F240" s="352" t="s">
        <v>485</v>
      </c>
      <c r="G240" s="353"/>
      <c r="H240" s="353"/>
      <c r="I240" s="354"/>
    </row>
    <row r="241" spans="5:9" ht="15.75" thickBot="1" x14ac:dyDescent="0.3">
      <c r="E241" s="18" t="s">
        <v>109</v>
      </c>
      <c r="F241" s="344" t="s">
        <v>486</v>
      </c>
      <c r="G241" s="345"/>
      <c r="H241" s="345"/>
      <c r="I241" s="346"/>
    </row>
    <row r="242" spans="5:9" ht="15.75" thickBot="1" x14ac:dyDescent="0.3">
      <c r="E242" s="19" t="s">
        <v>73</v>
      </c>
      <c r="F242" s="335" t="s">
        <v>375</v>
      </c>
      <c r="G242" s="336"/>
      <c r="H242" s="336"/>
      <c r="I242" s="337"/>
    </row>
    <row r="243" spans="5:9" ht="15.75" thickBot="1" x14ac:dyDescent="0.3">
      <c r="E243" s="19" t="s">
        <v>75</v>
      </c>
      <c r="F243" s="347" t="s">
        <v>463</v>
      </c>
      <c r="G243" s="348"/>
      <c r="H243" s="348"/>
      <c r="I243" s="349"/>
    </row>
    <row r="244" spans="5:9" x14ac:dyDescent="0.25">
      <c r="E244" s="350"/>
      <c r="F244" s="20">
        <v>2018</v>
      </c>
      <c r="G244" s="20">
        <v>2019</v>
      </c>
      <c r="H244" s="20">
        <v>2020</v>
      </c>
      <c r="I244" s="20">
        <v>2021</v>
      </c>
    </row>
    <row r="245" spans="5:9" ht="15.75" thickBot="1" x14ac:dyDescent="0.3">
      <c r="E245" s="351"/>
      <c r="F245" s="21" t="s">
        <v>42</v>
      </c>
      <c r="G245" s="21" t="s">
        <v>43</v>
      </c>
      <c r="H245" s="21" t="s">
        <v>43</v>
      </c>
      <c r="I245" s="21" t="s">
        <v>43</v>
      </c>
    </row>
    <row r="246" spans="5:9" ht="15.75" thickBot="1" x14ac:dyDescent="0.3">
      <c r="E246" s="19" t="s">
        <v>77</v>
      </c>
      <c r="F246" s="22">
        <v>1650</v>
      </c>
      <c r="G246" s="22">
        <v>2000</v>
      </c>
      <c r="H246" s="22">
        <v>2150</v>
      </c>
      <c r="I246" s="22">
        <v>2170</v>
      </c>
    </row>
    <row r="247" spans="5:9" ht="15.75" thickBot="1" x14ac:dyDescent="0.3">
      <c r="E247" s="19" t="s">
        <v>78</v>
      </c>
      <c r="F247" s="22"/>
      <c r="G247" s="22"/>
      <c r="H247" s="22">
        <f>2000*56%</f>
        <v>1120</v>
      </c>
      <c r="I247" s="22"/>
    </row>
    <row r="248" spans="5:9" ht="15.75" thickBot="1" x14ac:dyDescent="0.3">
      <c r="E248" s="19" t="s">
        <v>79</v>
      </c>
      <c r="F248" s="22">
        <f>F247/F246</f>
        <v>0</v>
      </c>
      <c r="G248" s="22">
        <f t="shared" ref="G248:I248" si="24">G247/G246</f>
        <v>0</v>
      </c>
      <c r="H248" s="22">
        <f t="shared" si="24"/>
        <v>0.52093023255813953</v>
      </c>
      <c r="I248" s="22">
        <f t="shared" si="24"/>
        <v>0</v>
      </c>
    </row>
    <row r="249" spans="5:9" ht="15.75" thickBot="1" x14ac:dyDescent="0.3">
      <c r="E249" s="19" t="s">
        <v>80</v>
      </c>
      <c r="F249" s="23" t="s">
        <v>81</v>
      </c>
      <c r="G249" s="13">
        <f>G246/F246-1</f>
        <v>0.21212121212121215</v>
      </c>
      <c r="H249" s="13">
        <f t="shared" ref="H249:I251" si="25">H246/G246-1</f>
        <v>7.4999999999999956E-2</v>
      </c>
      <c r="I249" s="13">
        <f t="shared" si="25"/>
        <v>9.302325581395321E-3</v>
      </c>
    </row>
    <row r="250" spans="5:9" ht="15.75" thickBot="1" x14ac:dyDescent="0.3">
      <c r="E250" s="19" t="s">
        <v>82</v>
      </c>
      <c r="F250" s="23" t="s">
        <v>81</v>
      </c>
      <c r="G250" s="13" t="e">
        <f>G247/F247-1</f>
        <v>#DIV/0!</v>
      </c>
      <c r="H250" s="13" t="e">
        <f t="shared" si="25"/>
        <v>#DIV/0!</v>
      </c>
      <c r="I250" s="13">
        <f t="shared" si="25"/>
        <v>-1</v>
      </c>
    </row>
    <row r="251" spans="5:9" ht="15.75" thickBot="1" x14ac:dyDescent="0.3">
      <c r="E251" s="19" t="s">
        <v>83</v>
      </c>
      <c r="F251" s="23" t="s">
        <v>81</v>
      </c>
      <c r="G251" s="13" t="e">
        <f>G248/F248-1</f>
        <v>#DIV/0!</v>
      </c>
      <c r="H251" s="13" t="e">
        <f t="shared" si="25"/>
        <v>#DIV/0!</v>
      </c>
      <c r="I251" s="13">
        <f t="shared" si="25"/>
        <v>-1</v>
      </c>
    </row>
    <row r="252" spans="5:9" ht="15.75" thickBot="1" x14ac:dyDescent="0.3">
      <c r="E252" s="338" t="s">
        <v>84</v>
      </c>
      <c r="F252" s="339"/>
      <c r="G252" s="339"/>
      <c r="H252" s="339"/>
      <c r="I252" s="340"/>
    </row>
    <row r="253" spans="5:9" x14ac:dyDescent="0.25">
      <c r="E253" s="350"/>
      <c r="F253" s="20">
        <v>2018</v>
      </c>
      <c r="G253" s="20">
        <v>2019</v>
      </c>
      <c r="H253" s="20">
        <v>2020</v>
      </c>
      <c r="I253" s="20">
        <v>2021</v>
      </c>
    </row>
    <row r="254" spans="5:9" ht="15.75" thickBot="1" x14ac:dyDescent="0.3">
      <c r="E254" s="351"/>
      <c r="F254" s="21" t="s">
        <v>42</v>
      </c>
      <c r="G254" s="21" t="s">
        <v>43</v>
      </c>
      <c r="H254" s="21" t="s">
        <v>43</v>
      </c>
      <c r="I254" s="21" t="s">
        <v>43</v>
      </c>
    </row>
    <row r="255" spans="5:9" ht="15.75" thickBot="1" x14ac:dyDescent="0.3">
      <c r="E255" s="24" t="s">
        <v>170</v>
      </c>
      <c r="F255" s="25"/>
      <c r="G255" s="25"/>
      <c r="H255" s="25"/>
      <c r="I255" s="25"/>
    </row>
    <row r="256" spans="5:9" ht="15.75" thickBot="1" x14ac:dyDescent="0.3">
      <c r="E256" s="24" t="s">
        <v>113</v>
      </c>
      <c r="F256" s="26"/>
      <c r="G256" s="25"/>
      <c r="H256" s="25">
        <f>H247</f>
        <v>1120</v>
      </c>
      <c r="I256" s="25"/>
    </row>
    <row r="257" spans="5:9" ht="15.75" thickBot="1" x14ac:dyDescent="0.3">
      <c r="E257" s="27" t="s">
        <v>92</v>
      </c>
      <c r="F257" s="26">
        <f>F256+F255</f>
        <v>0</v>
      </c>
      <c r="G257" s="26">
        <f t="shared" ref="G257:I257" si="26">G256+G255</f>
        <v>0</v>
      </c>
      <c r="H257" s="26">
        <f t="shared" si="26"/>
        <v>1120</v>
      </c>
      <c r="I257" s="26">
        <f t="shared" si="26"/>
        <v>0</v>
      </c>
    </row>
    <row r="258" spans="5:9" x14ac:dyDescent="0.25">
      <c r="E258" s="355" t="s">
        <v>114</v>
      </c>
      <c r="F258" s="358"/>
      <c r="G258" s="359"/>
      <c r="H258" s="359"/>
      <c r="I258" s="360"/>
    </row>
    <row r="259" spans="5:9" x14ac:dyDescent="0.25">
      <c r="E259" s="356"/>
      <c r="F259" s="361"/>
      <c r="G259" s="362"/>
      <c r="H259" s="362"/>
      <c r="I259" s="363"/>
    </row>
    <row r="260" spans="5:9" ht="15.75" thickBot="1" x14ac:dyDescent="0.3">
      <c r="E260" s="357"/>
      <c r="F260" s="364"/>
      <c r="G260" s="365"/>
      <c r="H260" s="365"/>
      <c r="I260" s="366"/>
    </row>
    <row r="261" spans="5:9" ht="15.75" thickBot="1" x14ac:dyDescent="0.3">
      <c r="E261" s="30" t="s">
        <v>260</v>
      </c>
      <c r="F261" s="352" t="s">
        <v>485</v>
      </c>
      <c r="G261" s="353"/>
      <c r="H261" s="353"/>
      <c r="I261" s="354"/>
    </row>
    <row r="262" spans="5:9" ht="15.75" thickBot="1" x14ac:dyDescent="0.3">
      <c r="E262" s="18" t="s">
        <v>487</v>
      </c>
      <c r="F262" s="344" t="s">
        <v>488</v>
      </c>
      <c r="G262" s="345"/>
      <c r="H262" s="345"/>
      <c r="I262" s="346"/>
    </row>
    <row r="263" spans="5:9" ht="15.75" thickBot="1" x14ac:dyDescent="0.3">
      <c r="E263" s="19" t="s">
        <v>73</v>
      </c>
      <c r="F263" s="335" t="s">
        <v>375</v>
      </c>
      <c r="G263" s="336"/>
      <c r="H263" s="336"/>
      <c r="I263" s="337"/>
    </row>
    <row r="264" spans="5:9" ht="15.75" thickBot="1" x14ac:dyDescent="0.3">
      <c r="E264" s="19" t="s">
        <v>75</v>
      </c>
      <c r="F264" s="347" t="s">
        <v>463</v>
      </c>
      <c r="G264" s="348"/>
      <c r="H264" s="348"/>
      <c r="I264" s="349"/>
    </row>
    <row r="265" spans="5:9" x14ac:dyDescent="0.25">
      <c r="E265" s="350"/>
      <c r="F265" s="20">
        <v>2018</v>
      </c>
      <c r="G265" s="20">
        <v>2019</v>
      </c>
      <c r="H265" s="20">
        <v>2020</v>
      </c>
      <c r="I265" s="20">
        <v>2021</v>
      </c>
    </row>
    <row r="266" spans="5:9" ht="15.75" thickBot="1" x14ac:dyDescent="0.3">
      <c r="E266" s="351"/>
      <c r="F266" s="21" t="s">
        <v>42</v>
      </c>
      <c r="G266" s="21" t="s">
        <v>43</v>
      </c>
      <c r="H266" s="21" t="s">
        <v>43</v>
      </c>
      <c r="I266" s="21" t="s">
        <v>43</v>
      </c>
    </row>
    <row r="267" spans="5:9" ht="15.75" thickBot="1" x14ac:dyDescent="0.3">
      <c r="E267" s="19" t="s">
        <v>77</v>
      </c>
      <c r="F267" s="22">
        <v>420</v>
      </c>
      <c r="G267" s="22">
        <v>430</v>
      </c>
      <c r="H267" s="22">
        <v>440</v>
      </c>
      <c r="I267" s="22">
        <v>450</v>
      </c>
    </row>
    <row r="268" spans="5:9" ht="15.75" thickBot="1" x14ac:dyDescent="0.3">
      <c r="E268" s="19" t="s">
        <v>78</v>
      </c>
      <c r="F268" s="22"/>
      <c r="G268" s="22"/>
      <c r="H268" s="22">
        <v>880</v>
      </c>
      <c r="I268" s="22"/>
    </row>
    <row r="269" spans="5:9" ht="15.75" thickBot="1" x14ac:dyDescent="0.3">
      <c r="E269" s="19" t="s">
        <v>79</v>
      </c>
      <c r="F269" s="22">
        <f>F268/F267</f>
        <v>0</v>
      </c>
      <c r="G269" s="22">
        <f t="shared" ref="G269:I269" si="27">G268/G267</f>
        <v>0</v>
      </c>
      <c r="H269" s="22">
        <f t="shared" si="27"/>
        <v>2</v>
      </c>
      <c r="I269" s="22">
        <f t="shared" si="27"/>
        <v>0</v>
      </c>
    </row>
    <row r="270" spans="5:9" ht="15.75" thickBot="1" x14ac:dyDescent="0.3">
      <c r="E270" s="19" t="s">
        <v>80</v>
      </c>
      <c r="F270" s="23" t="s">
        <v>81</v>
      </c>
      <c r="G270" s="13">
        <f>G267/F267-1</f>
        <v>2.3809523809523725E-2</v>
      </c>
      <c r="H270" s="13">
        <f t="shared" ref="H270:I272" si="28">H267/G267-1</f>
        <v>2.3255813953488413E-2</v>
      </c>
      <c r="I270" s="13">
        <f t="shared" si="28"/>
        <v>2.2727272727272707E-2</v>
      </c>
    </row>
    <row r="271" spans="5:9" ht="15.75" thickBot="1" x14ac:dyDescent="0.3">
      <c r="E271" s="19" t="s">
        <v>82</v>
      </c>
      <c r="F271" s="23" t="s">
        <v>81</v>
      </c>
      <c r="G271" s="13" t="e">
        <f>G268/F268-1</f>
        <v>#DIV/0!</v>
      </c>
      <c r="H271" s="13" t="e">
        <f t="shared" si="28"/>
        <v>#DIV/0!</v>
      </c>
      <c r="I271" s="13">
        <f t="shared" si="28"/>
        <v>-1</v>
      </c>
    </row>
    <row r="272" spans="5:9" ht="15.75" thickBot="1" x14ac:dyDescent="0.3">
      <c r="E272" s="19" t="s">
        <v>83</v>
      </c>
      <c r="F272" s="23" t="s">
        <v>81</v>
      </c>
      <c r="G272" s="13" t="e">
        <f>G269/F269-1</f>
        <v>#DIV/0!</v>
      </c>
      <c r="H272" s="13" t="e">
        <f t="shared" si="28"/>
        <v>#DIV/0!</v>
      </c>
      <c r="I272" s="13">
        <f t="shared" si="28"/>
        <v>-1</v>
      </c>
    </row>
    <row r="273" spans="5:9" ht="15.75" thickBot="1" x14ac:dyDescent="0.3">
      <c r="E273" s="338" t="s">
        <v>377</v>
      </c>
      <c r="F273" s="339"/>
      <c r="G273" s="339"/>
      <c r="H273" s="339"/>
      <c r="I273" s="340"/>
    </row>
    <row r="274" spans="5:9" x14ac:dyDescent="0.25">
      <c r="E274" s="350"/>
      <c r="F274" s="20">
        <v>2018</v>
      </c>
      <c r="G274" s="20">
        <v>2019</v>
      </c>
      <c r="H274" s="20">
        <v>2020</v>
      </c>
      <c r="I274" s="20">
        <v>2021</v>
      </c>
    </row>
    <row r="275" spans="5:9" ht="15.75" thickBot="1" x14ac:dyDescent="0.3">
      <c r="E275" s="351"/>
      <c r="F275" s="21" t="s">
        <v>42</v>
      </c>
      <c r="G275" s="21" t="s">
        <v>43</v>
      </c>
      <c r="H275" s="21" t="s">
        <v>43</v>
      </c>
      <c r="I275" s="21" t="s">
        <v>43</v>
      </c>
    </row>
    <row r="276" spans="5:9" ht="15.75" thickBot="1" x14ac:dyDescent="0.3">
      <c r="E276" s="24" t="s">
        <v>170</v>
      </c>
      <c r="F276" s="25"/>
      <c r="G276" s="25"/>
      <c r="H276" s="25"/>
      <c r="I276" s="25"/>
    </row>
    <row r="277" spans="5:9" ht="15.75" thickBot="1" x14ac:dyDescent="0.3">
      <c r="E277" s="24" t="s">
        <v>113</v>
      </c>
      <c r="F277" s="26"/>
      <c r="G277" s="25"/>
      <c r="H277" s="25">
        <f>H268</f>
        <v>880</v>
      </c>
      <c r="I277" s="25"/>
    </row>
    <row r="278" spans="5:9" ht="15.75" thickBot="1" x14ac:dyDescent="0.3">
      <c r="E278" s="27" t="s">
        <v>177</v>
      </c>
      <c r="F278" s="26">
        <f>F277+F276</f>
        <v>0</v>
      </c>
      <c r="G278" s="26">
        <f t="shared" ref="G278:I278" si="29">G277+G276</f>
        <v>0</v>
      </c>
      <c r="H278" s="26">
        <f>H268</f>
        <v>880</v>
      </c>
      <c r="I278" s="26">
        <f t="shared" si="29"/>
        <v>0</v>
      </c>
    </row>
    <row r="279" spans="5:9" ht="24" customHeight="1" thickBot="1" x14ac:dyDescent="0.3">
      <c r="E279" s="51" t="s">
        <v>46</v>
      </c>
      <c r="F279" s="546" t="s">
        <v>490</v>
      </c>
      <c r="G279" s="547"/>
      <c r="H279" s="547"/>
      <c r="I279" s="548"/>
    </row>
    <row r="280" spans="5:9" ht="15.75" thickBot="1" x14ac:dyDescent="0.3">
      <c r="E280" s="335" t="s">
        <v>491</v>
      </c>
      <c r="F280" s="336"/>
      <c r="G280" s="336"/>
      <c r="H280" s="336"/>
      <c r="I280" s="337"/>
    </row>
    <row r="281" spans="5:9" ht="15.75" thickBot="1" x14ac:dyDescent="0.3">
      <c r="E281" s="261" t="s">
        <v>492</v>
      </c>
      <c r="F281" s="14">
        <v>1</v>
      </c>
      <c r="G281" s="14">
        <v>1</v>
      </c>
      <c r="H281" s="14">
        <v>1</v>
      </c>
      <c r="I281" s="14">
        <v>1</v>
      </c>
    </row>
    <row r="282" spans="5:9" ht="15.75" thickBot="1" x14ac:dyDescent="0.3">
      <c r="E282" s="303" t="s">
        <v>69</v>
      </c>
      <c r="F282" s="304"/>
      <c r="G282" s="304"/>
      <c r="H282" s="304"/>
      <c r="I282" s="305"/>
    </row>
    <row r="283" spans="5:9" ht="15.75" thickBot="1" x14ac:dyDescent="0.3">
      <c r="E283" s="341" t="s">
        <v>70</v>
      </c>
      <c r="F283" s="342"/>
      <c r="G283" s="342"/>
      <c r="H283" s="342"/>
      <c r="I283" s="343"/>
    </row>
    <row r="284" spans="5:9" ht="15.75" thickBot="1" x14ac:dyDescent="0.3">
      <c r="E284" s="18" t="s">
        <v>71</v>
      </c>
      <c r="F284" s="347" t="s">
        <v>493</v>
      </c>
      <c r="G284" s="348"/>
      <c r="H284" s="348"/>
      <c r="I284" s="349"/>
    </row>
    <row r="285" spans="5:9" ht="15.75" thickBot="1" x14ac:dyDescent="0.3">
      <c r="E285" s="19" t="s">
        <v>73</v>
      </c>
      <c r="F285" s="335" t="s">
        <v>494</v>
      </c>
      <c r="G285" s="336"/>
      <c r="H285" s="336"/>
      <c r="I285" s="337"/>
    </row>
    <row r="286" spans="5:9" ht="15.75" thickBot="1" x14ac:dyDescent="0.3">
      <c r="E286" s="19" t="s">
        <v>75</v>
      </c>
      <c r="F286" s="347" t="s">
        <v>495</v>
      </c>
      <c r="G286" s="348"/>
      <c r="H286" s="348"/>
      <c r="I286" s="349"/>
    </row>
    <row r="287" spans="5:9" x14ac:dyDescent="0.25">
      <c r="E287" s="350"/>
      <c r="F287" s="20">
        <v>2018</v>
      </c>
      <c r="G287" s="20">
        <v>2019</v>
      </c>
      <c r="H287" s="20">
        <v>2020</v>
      </c>
      <c r="I287" s="20">
        <v>2021</v>
      </c>
    </row>
    <row r="288" spans="5:9" ht="15.75" thickBot="1" x14ac:dyDescent="0.3">
      <c r="E288" s="351"/>
      <c r="F288" s="21" t="s">
        <v>42</v>
      </c>
      <c r="G288" s="21" t="s">
        <v>43</v>
      </c>
      <c r="H288" s="21" t="s">
        <v>43</v>
      </c>
      <c r="I288" s="21" t="s">
        <v>43</v>
      </c>
    </row>
    <row r="289" spans="5:9" ht="15.75" thickBot="1" x14ac:dyDescent="0.3">
      <c r="E289" s="19" t="s">
        <v>77</v>
      </c>
      <c r="F289" s="22">
        <v>4585</v>
      </c>
      <c r="G289" s="22">
        <v>4585</v>
      </c>
      <c r="H289" s="22">
        <v>4585</v>
      </c>
      <c r="I289" s="22">
        <v>4585</v>
      </c>
    </row>
    <row r="290" spans="5:9" ht="15.75" thickBot="1" x14ac:dyDescent="0.3">
      <c r="E290" s="19" t="s">
        <v>78</v>
      </c>
      <c r="F290" s="22">
        <v>116000</v>
      </c>
      <c r="G290" s="22">
        <f>G305</f>
        <v>117000</v>
      </c>
      <c r="H290" s="22">
        <f t="shared" ref="H290:I290" si="30">H305</f>
        <v>117000</v>
      </c>
      <c r="I290" s="22">
        <f t="shared" si="30"/>
        <v>117000</v>
      </c>
    </row>
    <row r="291" spans="5:9" ht="15.75" thickBot="1" x14ac:dyDescent="0.3">
      <c r="E291" s="19" t="s">
        <v>79</v>
      </c>
      <c r="F291" s="22">
        <f>F290/F289</f>
        <v>25.299890948745912</v>
      </c>
      <c r="G291" s="22">
        <f t="shared" ref="G291:I291" si="31">G290/G289</f>
        <v>25.517993456924756</v>
      </c>
      <c r="H291" s="22">
        <f t="shared" si="31"/>
        <v>25.517993456924756</v>
      </c>
      <c r="I291" s="22">
        <f t="shared" si="31"/>
        <v>25.517993456924756</v>
      </c>
    </row>
    <row r="292" spans="5:9" ht="15.75" thickBot="1" x14ac:dyDescent="0.3">
      <c r="E292" s="19" t="s">
        <v>80</v>
      </c>
      <c r="F292" s="23" t="s">
        <v>81</v>
      </c>
      <c r="G292" s="13">
        <f>G289/F289-1</f>
        <v>0</v>
      </c>
      <c r="H292" s="13">
        <f t="shared" ref="H292:I294" si="32">H289/G289-1</f>
        <v>0</v>
      </c>
      <c r="I292" s="13">
        <f t="shared" si="32"/>
        <v>0</v>
      </c>
    </row>
    <row r="293" spans="5:9" ht="15.75" thickBot="1" x14ac:dyDescent="0.3">
      <c r="E293" s="19" t="s">
        <v>82</v>
      </c>
      <c r="F293" s="23" t="s">
        <v>81</v>
      </c>
      <c r="G293" s="13">
        <f>G290/F290-1</f>
        <v>8.6206896551723755E-3</v>
      </c>
      <c r="H293" s="13">
        <f t="shared" si="32"/>
        <v>0</v>
      </c>
      <c r="I293" s="13">
        <f t="shared" si="32"/>
        <v>0</v>
      </c>
    </row>
    <row r="294" spans="5:9" ht="15.75" thickBot="1" x14ac:dyDescent="0.3">
      <c r="E294" s="19" t="s">
        <v>83</v>
      </c>
      <c r="F294" s="23" t="s">
        <v>81</v>
      </c>
      <c r="G294" s="13">
        <f>G291/F291-1</f>
        <v>8.6206896551723755E-3</v>
      </c>
      <c r="H294" s="13">
        <f t="shared" si="32"/>
        <v>0</v>
      </c>
      <c r="I294" s="13">
        <f t="shared" si="32"/>
        <v>0</v>
      </c>
    </row>
    <row r="295" spans="5:9" ht="15.75" thickBot="1" x14ac:dyDescent="0.3">
      <c r="E295" s="338" t="s">
        <v>84</v>
      </c>
      <c r="F295" s="339"/>
      <c r="G295" s="339"/>
      <c r="H295" s="339"/>
      <c r="I295" s="340"/>
    </row>
    <row r="296" spans="5:9" x14ac:dyDescent="0.25">
      <c r="E296" s="350"/>
      <c r="F296" s="20">
        <v>2018</v>
      </c>
      <c r="G296" s="20">
        <v>2019</v>
      </c>
      <c r="H296" s="20">
        <v>2020</v>
      </c>
      <c r="I296" s="20">
        <v>2021</v>
      </c>
    </row>
    <row r="297" spans="5:9" ht="15.75" thickBot="1" x14ac:dyDescent="0.3">
      <c r="E297" s="351"/>
      <c r="F297" s="21" t="s">
        <v>42</v>
      </c>
      <c r="G297" s="21" t="s">
        <v>43</v>
      </c>
      <c r="H297" s="21" t="s">
        <v>43</v>
      </c>
      <c r="I297" s="21" t="s">
        <v>43</v>
      </c>
    </row>
    <row r="298" spans="5:9" ht="15.75" thickBot="1" x14ac:dyDescent="0.3">
      <c r="E298" s="141" t="s">
        <v>85</v>
      </c>
      <c r="F298" s="142">
        <v>90000</v>
      </c>
      <c r="G298" s="142">
        <v>90000</v>
      </c>
      <c r="H298" s="142">
        <v>90000</v>
      </c>
      <c r="I298" s="142">
        <v>90000</v>
      </c>
    </row>
    <row r="299" spans="5:9" ht="15.75" thickBot="1" x14ac:dyDescent="0.3">
      <c r="E299" s="141" t="s">
        <v>86</v>
      </c>
      <c r="F299" s="142">
        <v>13000</v>
      </c>
      <c r="G299" s="142">
        <v>13000</v>
      </c>
      <c r="H299" s="142">
        <v>13000</v>
      </c>
      <c r="I299" s="142">
        <v>13000</v>
      </c>
    </row>
    <row r="300" spans="5:9" ht="15.75" thickBot="1" x14ac:dyDescent="0.3">
      <c r="E300" s="141" t="s">
        <v>87</v>
      </c>
      <c r="F300" s="142">
        <v>13000</v>
      </c>
      <c r="G300" s="142">
        <v>14000</v>
      </c>
      <c r="H300" s="142">
        <v>14000</v>
      </c>
      <c r="I300" s="142">
        <v>14000</v>
      </c>
    </row>
    <row r="301" spans="5:9" ht="15.75" thickBot="1" x14ac:dyDescent="0.3">
      <c r="E301" s="24" t="s">
        <v>88</v>
      </c>
      <c r="F301" s="26"/>
      <c r="G301" s="25"/>
      <c r="H301" s="25"/>
      <c r="I301" s="25"/>
    </row>
    <row r="302" spans="5:9" ht="15.75" thickBot="1" x14ac:dyDescent="0.3">
      <c r="E302" s="24" t="s">
        <v>89</v>
      </c>
      <c r="F302" s="26"/>
      <c r="G302" s="25"/>
      <c r="H302" s="25"/>
      <c r="I302" s="25"/>
    </row>
    <row r="303" spans="5:9" ht="15.75" thickBot="1" x14ac:dyDescent="0.3">
      <c r="E303" s="24" t="s">
        <v>90</v>
      </c>
      <c r="F303" s="26"/>
      <c r="G303" s="25"/>
      <c r="H303" s="25"/>
      <c r="I303" s="25"/>
    </row>
    <row r="304" spans="5:9" ht="15.75" thickBot="1" x14ac:dyDescent="0.3">
      <c r="E304" s="24" t="s">
        <v>91</v>
      </c>
      <c r="F304" s="26"/>
      <c r="G304" s="25"/>
      <c r="H304" s="25"/>
      <c r="I304" s="25"/>
    </row>
    <row r="305" spans="5:9" ht="15.75" thickBot="1" x14ac:dyDescent="0.3">
      <c r="E305" s="27" t="s">
        <v>92</v>
      </c>
      <c r="F305" s="26">
        <f>F304+F303+F302+F301+F300+F299+F298</f>
        <v>116000</v>
      </c>
      <c r="G305" s="26">
        <f>G304+G303+G302+G301+G300+G299+G298</f>
        <v>117000</v>
      </c>
      <c r="H305" s="26">
        <f>H304+H303+H302+H301+H300+H299+H298</f>
        <v>117000</v>
      </c>
      <c r="I305" s="26">
        <f>I304+I303+I302+I301+I300+I299+I298</f>
        <v>117000</v>
      </c>
    </row>
    <row r="306" spans="5:9" ht="15.75" thickBot="1" x14ac:dyDescent="0.3">
      <c r="E306" s="28" t="s">
        <v>93</v>
      </c>
      <c r="F306" s="29">
        <f>IF(F305-F290=0,0,"Error")</f>
        <v>0</v>
      </c>
      <c r="G306" s="29">
        <f>IF(G305-G290=0,0,"Error")</f>
        <v>0</v>
      </c>
      <c r="H306" s="29">
        <f>IF(H305-H290=0,0,"Error")</f>
        <v>0</v>
      </c>
      <c r="I306" s="29">
        <f>IF(I305-I290=0,0,"Error")</f>
        <v>0</v>
      </c>
    </row>
    <row r="307" spans="5:9" ht="15.75" thickBot="1" x14ac:dyDescent="0.3">
      <c r="E307" s="341" t="s">
        <v>105</v>
      </c>
      <c r="F307" s="342"/>
      <c r="G307" s="342"/>
      <c r="H307" s="342"/>
      <c r="I307" s="343"/>
    </row>
    <row r="308" spans="5:9" ht="15.75" thickBot="1" x14ac:dyDescent="0.3">
      <c r="E308" s="341" t="s">
        <v>106</v>
      </c>
      <c r="F308" s="342"/>
      <c r="G308" s="342"/>
      <c r="H308" s="342"/>
      <c r="I308" s="343"/>
    </row>
    <row r="309" spans="5:9" ht="15.75" thickBot="1" x14ac:dyDescent="0.3">
      <c r="E309" s="30" t="s">
        <v>107</v>
      </c>
      <c r="F309" s="543" t="s">
        <v>496</v>
      </c>
      <c r="G309" s="544"/>
      <c r="H309" s="544"/>
      <c r="I309" s="545"/>
    </row>
    <row r="310" spans="5:9" ht="15.75" thickBot="1" x14ac:dyDescent="0.3">
      <c r="E310" s="18" t="s">
        <v>109</v>
      </c>
      <c r="F310" s="347" t="s">
        <v>497</v>
      </c>
      <c r="G310" s="348"/>
      <c r="H310" s="348"/>
      <c r="I310" s="349"/>
    </row>
    <row r="311" spans="5:9" ht="15.75" thickBot="1" x14ac:dyDescent="0.3">
      <c r="E311" s="19" t="s">
        <v>73</v>
      </c>
      <c r="F311" s="347" t="s">
        <v>498</v>
      </c>
      <c r="G311" s="348"/>
      <c r="H311" s="348"/>
      <c r="I311" s="349"/>
    </row>
    <row r="312" spans="5:9" ht="15.75" thickBot="1" x14ac:dyDescent="0.3">
      <c r="E312" s="19" t="s">
        <v>75</v>
      </c>
      <c r="F312" s="347" t="s">
        <v>495</v>
      </c>
      <c r="G312" s="348"/>
      <c r="H312" s="348"/>
      <c r="I312" s="349"/>
    </row>
    <row r="313" spans="5:9" x14ac:dyDescent="0.25">
      <c r="E313" s="350"/>
      <c r="F313" s="20">
        <v>2018</v>
      </c>
      <c r="G313" s="20">
        <v>2019</v>
      </c>
      <c r="H313" s="20">
        <v>2020</v>
      </c>
      <c r="I313" s="20">
        <v>2021</v>
      </c>
    </row>
    <row r="314" spans="5:9" ht="15.75" thickBot="1" x14ac:dyDescent="0.3">
      <c r="E314" s="351"/>
      <c r="F314" s="21" t="s">
        <v>42</v>
      </c>
      <c r="G314" s="21" t="s">
        <v>43</v>
      </c>
      <c r="H314" s="21" t="s">
        <v>43</v>
      </c>
      <c r="I314" s="21" t="s">
        <v>43</v>
      </c>
    </row>
    <row r="315" spans="5:9" ht="15.75" thickBot="1" x14ac:dyDescent="0.3">
      <c r="E315" s="19" t="s">
        <v>77</v>
      </c>
      <c r="F315" s="22">
        <v>1</v>
      </c>
      <c r="G315" s="22">
        <v>2</v>
      </c>
      <c r="H315" s="22">
        <v>2</v>
      </c>
      <c r="I315" s="22">
        <v>2</v>
      </c>
    </row>
    <row r="316" spans="5:9" ht="15.75" thickBot="1" x14ac:dyDescent="0.3">
      <c r="E316" s="19" t="s">
        <v>78</v>
      </c>
      <c r="F316" s="22">
        <f>F326</f>
        <v>3000</v>
      </c>
      <c r="G316" s="22">
        <f t="shared" ref="G316:I316" si="33">G326</f>
        <v>6000</v>
      </c>
      <c r="H316" s="22">
        <f t="shared" si="33"/>
        <v>6000</v>
      </c>
      <c r="I316" s="22">
        <f t="shared" si="33"/>
        <v>5000</v>
      </c>
    </row>
    <row r="317" spans="5:9" ht="15.75" thickBot="1" x14ac:dyDescent="0.3">
      <c r="E317" s="19" t="s">
        <v>79</v>
      </c>
      <c r="F317" s="22">
        <f>F316/F315</f>
        <v>3000</v>
      </c>
      <c r="G317" s="22">
        <f t="shared" ref="G317:I317" si="34">G316/G315</f>
        <v>3000</v>
      </c>
      <c r="H317" s="22">
        <f t="shared" si="34"/>
        <v>3000</v>
      </c>
      <c r="I317" s="22">
        <f t="shared" si="34"/>
        <v>2500</v>
      </c>
    </row>
    <row r="318" spans="5:9" ht="15.75" thickBot="1" x14ac:dyDescent="0.3">
      <c r="E318" s="19" t="s">
        <v>80</v>
      </c>
      <c r="F318" s="260" t="s">
        <v>81</v>
      </c>
      <c r="G318" s="13">
        <f>G315/F315-1</f>
        <v>1</v>
      </c>
      <c r="H318" s="13">
        <f t="shared" ref="H318:I320" si="35">H315/G315-1</f>
        <v>0</v>
      </c>
      <c r="I318" s="13">
        <f t="shared" si="35"/>
        <v>0</v>
      </c>
    </row>
    <row r="319" spans="5:9" ht="15.75" thickBot="1" x14ac:dyDescent="0.3">
      <c r="E319" s="19" t="s">
        <v>82</v>
      </c>
      <c r="F319" s="23" t="s">
        <v>81</v>
      </c>
      <c r="G319" s="13">
        <f>G316/F316-1</f>
        <v>1</v>
      </c>
      <c r="H319" s="13">
        <f t="shared" si="35"/>
        <v>0</v>
      </c>
      <c r="I319" s="13">
        <f t="shared" si="35"/>
        <v>-0.16666666666666663</v>
      </c>
    </row>
    <row r="320" spans="5:9" ht="15.75" thickBot="1" x14ac:dyDescent="0.3">
      <c r="E320" s="19" t="s">
        <v>83</v>
      </c>
      <c r="F320" s="23" t="s">
        <v>81</v>
      </c>
      <c r="G320" s="13">
        <f>G317/F317-1</f>
        <v>0</v>
      </c>
      <c r="H320" s="13">
        <f t="shared" si="35"/>
        <v>0</v>
      </c>
      <c r="I320" s="13">
        <f t="shared" si="35"/>
        <v>-0.16666666666666663</v>
      </c>
    </row>
    <row r="321" spans="5:9" ht="15.75" thickBot="1" x14ac:dyDescent="0.3">
      <c r="E321" s="338" t="s">
        <v>84</v>
      </c>
      <c r="F321" s="339"/>
      <c r="G321" s="339"/>
      <c r="H321" s="339"/>
      <c r="I321" s="340"/>
    </row>
    <row r="322" spans="5:9" x14ac:dyDescent="0.25">
      <c r="E322" s="350"/>
      <c r="F322" s="20">
        <v>2018</v>
      </c>
      <c r="G322" s="20">
        <v>2019</v>
      </c>
      <c r="H322" s="20">
        <v>2020</v>
      </c>
      <c r="I322" s="20">
        <v>2021</v>
      </c>
    </row>
    <row r="323" spans="5:9" ht="15.75" thickBot="1" x14ac:dyDescent="0.3">
      <c r="E323" s="351"/>
      <c r="F323" s="21" t="s">
        <v>42</v>
      </c>
      <c r="G323" s="21" t="s">
        <v>43</v>
      </c>
      <c r="H323" s="21" t="s">
        <v>43</v>
      </c>
      <c r="I323" s="21" t="s">
        <v>43</v>
      </c>
    </row>
    <row r="324" spans="5:9" ht="15.75" thickBot="1" x14ac:dyDescent="0.3">
      <c r="E324" s="24" t="s">
        <v>170</v>
      </c>
      <c r="F324" s="25"/>
      <c r="G324" s="25"/>
      <c r="H324" s="25"/>
      <c r="I324" s="25"/>
    </row>
    <row r="325" spans="5:9" ht="15.75" thickBot="1" x14ac:dyDescent="0.3">
      <c r="E325" s="141" t="s">
        <v>113</v>
      </c>
      <c r="F325" s="144">
        <v>3000</v>
      </c>
      <c r="G325" s="144">
        <v>6000</v>
      </c>
      <c r="H325" s="144">
        <v>6000</v>
      </c>
      <c r="I325" s="144">
        <v>5000</v>
      </c>
    </row>
    <row r="326" spans="5:9" ht="15.75" thickBot="1" x14ac:dyDescent="0.3">
      <c r="E326" s="27" t="s">
        <v>92</v>
      </c>
      <c r="F326" s="26">
        <f>F325+F324</f>
        <v>3000</v>
      </c>
      <c r="G326" s="26">
        <f t="shared" ref="G326:I326" si="36">G325+G324</f>
        <v>6000</v>
      </c>
      <c r="H326" s="26">
        <f t="shared" si="36"/>
        <v>6000</v>
      </c>
      <c r="I326" s="26">
        <f t="shared" si="36"/>
        <v>5000</v>
      </c>
    </row>
    <row r="327" spans="5:9" x14ac:dyDescent="0.25">
      <c r="E327" s="355" t="s">
        <v>114</v>
      </c>
      <c r="F327" s="358"/>
      <c r="G327" s="359"/>
      <c r="H327" s="359"/>
      <c r="I327" s="360"/>
    </row>
    <row r="328" spans="5:9" x14ac:dyDescent="0.25">
      <c r="E328" s="356"/>
      <c r="F328" s="361"/>
      <c r="G328" s="362"/>
      <c r="H328" s="362"/>
      <c r="I328" s="363"/>
    </row>
    <row r="329" spans="5:9" ht="15.75" thickBot="1" x14ac:dyDescent="0.3">
      <c r="E329" s="357"/>
      <c r="F329" s="364"/>
      <c r="G329" s="365"/>
      <c r="H329" s="365"/>
      <c r="I329" s="366"/>
    </row>
    <row r="330" spans="5:9" ht="15.75" thickBot="1" x14ac:dyDescent="0.3">
      <c r="E330" s="30" t="s">
        <v>260</v>
      </c>
      <c r="F330" s="543" t="s">
        <v>168</v>
      </c>
      <c r="G330" s="544"/>
      <c r="H330" s="544"/>
      <c r="I330" s="545"/>
    </row>
    <row r="331" spans="5:9" ht="15.75" thickBot="1" x14ac:dyDescent="0.3">
      <c r="E331" s="18" t="s">
        <v>487</v>
      </c>
      <c r="F331" s="347" t="s">
        <v>499</v>
      </c>
      <c r="G331" s="348"/>
      <c r="H331" s="348"/>
      <c r="I331" s="349"/>
    </row>
    <row r="332" spans="5:9" ht="15.75" thickBot="1" x14ac:dyDescent="0.3">
      <c r="E332" s="19" t="s">
        <v>73</v>
      </c>
      <c r="F332" s="335" t="s">
        <v>500</v>
      </c>
      <c r="G332" s="336"/>
      <c r="H332" s="336"/>
      <c r="I332" s="337"/>
    </row>
    <row r="333" spans="5:9" ht="15.75" thickBot="1" x14ac:dyDescent="0.3">
      <c r="E333" s="19" t="s">
        <v>75</v>
      </c>
      <c r="F333" s="347" t="s">
        <v>501</v>
      </c>
      <c r="G333" s="348"/>
      <c r="H333" s="348"/>
      <c r="I333" s="349"/>
    </row>
    <row r="334" spans="5:9" x14ac:dyDescent="0.25">
      <c r="E334" s="350"/>
      <c r="F334" s="20">
        <v>2018</v>
      </c>
      <c r="G334" s="20">
        <v>2019</v>
      </c>
      <c r="H334" s="20">
        <v>2020</v>
      </c>
      <c r="I334" s="20">
        <v>2021</v>
      </c>
    </row>
    <row r="335" spans="5:9" ht="15.75" thickBot="1" x14ac:dyDescent="0.3">
      <c r="E335" s="351"/>
      <c r="F335" s="21" t="s">
        <v>42</v>
      </c>
      <c r="G335" s="21" t="s">
        <v>43</v>
      </c>
      <c r="H335" s="21" t="s">
        <v>43</v>
      </c>
      <c r="I335" s="21" t="s">
        <v>43</v>
      </c>
    </row>
    <row r="336" spans="5:9" ht="15.75" thickBot="1" x14ac:dyDescent="0.3">
      <c r="E336" s="19" t="s">
        <v>77</v>
      </c>
      <c r="F336" s="22">
        <v>45</v>
      </c>
      <c r="G336" s="22">
        <v>6</v>
      </c>
      <c r="H336" s="22">
        <v>6</v>
      </c>
      <c r="I336" s="22">
        <v>6</v>
      </c>
    </row>
    <row r="337" spans="5:9" ht="15.75" thickBot="1" x14ac:dyDescent="0.3">
      <c r="E337" s="19" t="s">
        <v>78</v>
      </c>
      <c r="F337" s="22">
        <f>F347</f>
        <v>3500</v>
      </c>
      <c r="G337" s="22">
        <f t="shared" ref="G337:I337" si="37">G347</f>
        <v>1000</v>
      </c>
      <c r="H337" s="22">
        <f t="shared" si="37"/>
        <v>1000</v>
      </c>
      <c r="I337" s="22">
        <f t="shared" si="37"/>
        <v>500</v>
      </c>
    </row>
    <row r="338" spans="5:9" ht="15.75" thickBot="1" x14ac:dyDescent="0.3">
      <c r="E338" s="19" t="s">
        <v>79</v>
      </c>
      <c r="F338" s="22">
        <f>F337/F336</f>
        <v>77.777777777777771</v>
      </c>
      <c r="G338" s="22">
        <f t="shared" ref="G338:I338" si="38">G337/G336</f>
        <v>166.66666666666666</v>
      </c>
      <c r="H338" s="22">
        <f t="shared" si="38"/>
        <v>166.66666666666666</v>
      </c>
      <c r="I338" s="22">
        <f t="shared" si="38"/>
        <v>83.333333333333329</v>
      </c>
    </row>
    <row r="339" spans="5:9" ht="15.75" thickBot="1" x14ac:dyDescent="0.3">
      <c r="E339" s="19" t="s">
        <v>80</v>
      </c>
      <c r="F339" s="23" t="s">
        <v>81</v>
      </c>
      <c r="G339" s="13">
        <f>G336/F336-1</f>
        <v>-0.8666666666666667</v>
      </c>
      <c r="H339" s="13">
        <f t="shared" ref="H339:I341" si="39">H336/G336-1</f>
        <v>0</v>
      </c>
      <c r="I339" s="13">
        <f t="shared" si="39"/>
        <v>0</v>
      </c>
    </row>
    <row r="340" spans="5:9" ht="15.75" thickBot="1" x14ac:dyDescent="0.3">
      <c r="E340" s="19" t="s">
        <v>82</v>
      </c>
      <c r="F340" s="23" t="s">
        <v>81</v>
      </c>
      <c r="G340" s="13">
        <f>G337/F337-1</f>
        <v>-0.7142857142857143</v>
      </c>
      <c r="H340" s="13">
        <f t="shared" si="39"/>
        <v>0</v>
      </c>
      <c r="I340" s="13">
        <f t="shared" si="39"/>
        <v>-0.5</v>
      </c>
    </row>
    <row r="341" spans="5:9" ht="15.75" thickBot="1" x14ac:dyDescent="0.3">
      <c r="E341" s="19" t="s">
        <v>83</v>
      </c>
      <c r="F341" s="23" t="s">
        <v>81</v>
      </c>
      <c r="G341" s="13">
        <f>G338/F338-1</f>
        <v>1.1428571428571428</v>
      </c>
      <c r="H341" s="13">
        <f t="shared" si="39"/>
        <v>0</v>
      </c>
      <c r="I341" s="13">
        <f t="shared" si="39"/>
        <v>-0.5</v>
      </c>
    </row>
    <row r="342" spans="5:9" ht="15.75" thickBot="1" x14ac:dyDescent="0.3">
      <c r="E342" s="338" t="s">
        <v>377</v>
      </c>
      <c r="F342" s="339"/>
      <c r="G342" s="339"/>
      <c r="H342" s="339"/>
      <c r="I342" s="340"/>
    </row>
    <row r="343" spans="5:9" x14ac:dyDescent="0.25">
      <c r="E343" s="350"/>
      <c r="F343" s="20">
        <v>2018</v>
      </c>
      <c r="G343" s="20">
        <v>2019</v>
      </c>
      <c r="H343" s="20">
        <v>2020</v>
      </c>
      <c r="I343" s="20">
        <v>2021</v>
      </c>
    </row>
    <row r="344" spans="5:9" ht="15.75" thickBot="1" x14ac:dyDescent="0.3">
      <c r="E344" s="351"/>
      <c r="F344" s="21" t="s">
        <v>42</v>
      </c>
      <c r="G344" s="21" t="s">
        <v>43</v>
      </c>
      <c r="H344" s="21" t="s">
        <v>43</v>
      </c>
      <c r="I344" s="21" t="s">
        <v>43</v>
      </c>
    </row>
    <row r="345" spans="5:9" ht="15.75" thickBot="1" x14ac:dyDescent="0.3">
      <c r="E345" s="24" t="s">
        <v>170</v>
      </c>
      <c r="F345" s="25"/>
      <c r="G345" s="25"/>
      <c r="H345" s="25"/>
      <c r="I345" s="25"/>
    </row>
    <row r="346" spans="5:9" ht="15.75" thickBot="1" x14ac:dyDescent="0.3">
      <c r="E346" s="24" t="s">
        <v>113</v>
      </c>
      <c r="F346" s="144">
        <v>3500</v>
      </c>
      <c r="G346" s="142">
        <v>1000</v>
      </c>
      <c r="H346" s="142">
        <v>1000</v>
      </c>
      <c r="I346" s="142">
        <v>500</v>
      </c>
    </row>
    <row r="347" spans="5:9" ht="15.75" thickBot="1" x14ac:dyDescent="0.3">
      <c r="E347" s="27" t="s">
        <v>99</v>
      </c>
      <c r="F347" s="26">
        <f>F346+F345</f>
        <v>3500</v>
      </c>
      <c r="G347" s="26">
        <f t="shared" ref="G347:I347" si="40">G346+G345</f>
        <v>1000</v>
      </c>
      <c r="H347" s="26">
        <f t="shared" si="40"/>
        <v>1000</v>
      </c>
      <c r="I347" s="26">
        <f t="shared" si="40"/>
        <v>500</v>
      </c>
    </row>
    <row r="348" spans="5:9" x14ac:dyDescent="0.25">
      <c r="E348" s="355" t="s">
        <v>114</v>
      </c>
      <c r="F348" s="358"/>
      <c r="G348" s="359"/>
      <c r="H348" s="359"/>
      <c r="I348" s="360"/>
    </row>
    <row r="349" spans="5:9" x14ac:dyDescent="0.25">
      <c r="E349" s="356"/>
      <c r="F349" s="361"/>
      <c r="G349" s="362"/>
      <c r="H349" s="362"/>
      <c r="I349" s="363"/>
    </row>
    <row r="350" spans="5:9" ht="15.75" thickBot="1" x14ac:dyDescent="0.3">
      <c r="E350" s="357"/>
      <c r="F350" s="364"/>
      <c r="G350" s="365"/>
      <c r="H350" s="365"/>
      <c r="I350" s="366"/>
    </row>
    <row r="351" spans="5:9" ht="15.75" thickBot="1" x14ac:dyDescent="0.3">
      <c r="E351" s="30" t="s">
        <v>260</v>
      </c>
      <c r="F351" s="543" t="s">
        <v>502</v>
      </c>
      <c r="G351" s="544"/>
      <c r="H351" s="544"/>
      <c r="I351" s="545"/>
    </row>
    <row r="352" spans="5:9" ht="15.75" thickBot="1" x14ac:dyDescent="0.3">
      <c r="E352" s="18" t="s">
        <v>429</v>
      </c>
      <c r="F352" s="347" t="s">
        <v>503</v>
      </c>
      <c r="G352" s="348"/>
      <c r="H352" s="348"/>
      <c r="I352" s="349"/>
    </row>
    <row r="353" spans="5:9" ht="15.75" thickBot="1" x14ac:dyDescent="0.3">
      <c r="E353" s="19" t="s">
        <v>73</v>
      </c>
      <c r="F353" s="335" t="s">
        <v>504</v>
      </c>
      <c r="G353" s="336"/>
      <c r="H353" s="336"/>
      <c r="I353" s="337"/>
    </row>
    <row r="354" spans="5:9" ht="15.75" thickBot="1" x14ac:dyDescent="0.3">
      <c r="E354" s="19" t="s">
        <v>75</v>
      </c>
      <c r="F354" s="347" t="s">
        <v>274</v>
      </c>
      <c r="G354" s="348"/>
      <c r="H354" s="348"/>
      <c r="I354" s="349"/>
    </row>
    <row r="355" spans="5:9" x14ac:dyDescent="0.25">
      <c r="E355" s="350"/>
      <c r="F355" s="20">
        <v>2018</v>
      </c>
      <c r="G355" s="20">
        <v>2019</v>
      </c>
      <c r="H355" s="20">
        <v>2020</v>
      </c>
      <c r="I355" s="20">
        <v>2021</v>
      </c>
    </row>
    <row r="356" spans="5:9" ht="15.75" thickBot="1" x14ac:dyDescent="0.3">
      <c r="E356" s="351"/>
      <c r="F356" s="21" t="s">
        <v>42</v>
      </c>
      <c r="G356" s="21" t="s">
        <v>43</v>
      </c>
      <c r="H356" s="21" t="s">
        <v>43</v>
      </c>
      <c r="I356" s="21" t="s">
        <v>43</v>
      </c>
    </row>
    <row r="357" spans="5:9" ht="15.75" thickBot="1" x14ac:dyDescent="0.3">
      <c r="E357" s="19" t="s">
        <v>77</v>
      </c>
      <c r="F357" s="22">
        <v>550</v>
      </c>
      <c r="G357" s="22">
        <v>550</v>
      </c>
      <c r="H357" s="22">
        <v>0</v>
      </c>
      <c r="I357" s="22">
        <v>0</v>
      </c>
    </row>
    <row r="358" spans="5:9" ht="15.75" thickBot="1" x14ac:dyDescent="0.3">
      <c r="E358" s="19" t="s">
        <v>78</v>
      </c>
      <c r="F358" s="22">
        <f>F368</f>
        <v>2000</v>
      </c>
      <c r="G358" s="22">
        <f t="shared" ref="G358:I358" si="41">G368</f>
        <v>1000</v>
      </c>
      <c r="H358" s="22">
        <f t="shared" si="41"/>
        <v>0</v>
      </c>
      <c r="I358" s="22">
        <f t="shared" si="41"/>
        <v>0</v>
      </c>
    </row>
    <row r="359" spans="5:9" ht="15.75" thickBot="1" x14ac:dyDescent="0.3">
      <c r="E359" s="19" t="s">
        <v>79</v>
      </c>
      <c r="F359" s="22">
        <f>F358/F357</f>
        <v>3.6363636363636362</v>
      </c>
      <c r="G359" s="22">
        <f t="shared" ref="G359:I359" si="42">G358/G357</f>
        <v>1.8181818181818181</v>
      </c>
      <c r="H359" s="22" t="e">
        <f t="shared" si="42"/>
        <v>#DIV/0!</v>
      </c>
      <c r="I359" s="22" t="e">
        <f t="shared" si="42"/>
        <v>#DIV/0!</v>
      </c>
    </row>
    <row r="360" spans="5:9" ht="15.75" thickBot="1" x14ac:dyDescent="0.3">
      <c r="E360" s="19" t="s">
        <v>80</v>
      </c>
      <c r="F360" s="23" t="s">
        <v>81</v>
      </c>
      <c r="G360" s="13">
        <f>G357/F357-1</f>
        <v>0</v>
      </c>
      <c r="H360" s="13">
        <f t="shared" ref="H360:I362" si="43">H357/G357-1</f>
        <v>-1</v>
      </c>
      <c r="I360" s="13" t="e">
        <f t="shared" si="43"/>
        <v>#DIV/0!</v>
      </c>
    </row>
    <row r="361" spans="5:9" ht="15.75" thickBot="1" x14ac:dyDescent="0.3">
      <c r="E361" s="19" t="s">
        <v>82</v>
      </c>
      <c r="F361" s="23" t="s">
        <v>81</v>
      </c>
      <c r="G361" s="13">
        <f>G358/F358-1</f>
        <v>-0.5</v>
      </c>
      <c r="H361" s="13">
        <f t="shared" si="43"/>
        <v>-1</v>
      </c>
      <c r="I361" s="13" t="e">
        <f t="shared" si="43"/>
        <v>#DIV/0!</v>
      </c>
    </row>
    <row r="362" spans="5:9" ht="15.75" thickBot="1" x14ac:dyDescent="0.3">
      <c r="E362" s="19" t="s">
        <v>83</v>
      </c>
      <c r="F362" s="23" t="s">
        <v>81</v>
      </c>
      <c r="G362" s="13">
        <f>G359/F359-1</f>
        <v>-0.5</v>
      </c>
      <c r="H362" s="13" t="e">
        <f t="shared" si="43"/>
        <v>#DIV/0!</v>
      </c>
      <c r="I362" s="13" t="e">
        <f t="shared" si="43"/>
        <v>#DIV/0!</v>
      </c>
    </row>
    <row r="363" spans="5:9" ht="15.75" thickBot="1" x14ac:dyDescent="0.3">
      <c r="E363" s="338" t="s">
        <v>377</v>
      </c>
      <c r="F363" s="339"/>
      <c r="G363" s="339"/>
      <c r="H363" s="339"/>
      <c r="I363" s="340"/>
    </row>
    <row r="364" spans="5:9" x14ac:dyDescent="0.25">
      <c r="E364" s="350"/>
      <c r="F364" s="20">
        <v>2018</v>
      </c>
      <c r="G364" s="20">
        <v>2019</v>
      </c>
      <c r="H364" s="20">
        <v>2020</v>
      </c>
      <c r="I364" s="20">
        <v>2021</v>
      </c>
    </row>
    <row r="365" spans="5:9" ht="15.75" thickBot="1" x14ac:dyDescent="0.3">
      <c r="E365" s="351"/>
      <c r="F365" s="21" t="s">
        <v>42</v>
      </c>
      <c r="G365" s="21" t="s">
        <v>43</v>
      </c>
      <c r="H365" s="21" t="s">
        <v>43</v>
      </c>
      <c r="I365" s="21" t="s">
        <v>43</v>
      </c>
    </row>
    <row r="366" spans="5:9" ht="15.75" thickBot="1" x14ac:dyDescent="0.3">
      <c r="E366" s="24" t="s">
        <v>170</v>
      </c>
      <c r="F366" s="25"/>
      <c r="G366" s="25"/>
      <c r="H366" s="25"/>
      <c r="I366" s="25"/>
    </row>
    <row r="367" spans="5:9" ht="15.75" thickBot="1" x14ac:dyDescent="0.3">
      <c r="E367" s="24" t="s">
        <v>113</v>
      </c>
      <c r="F367" s="144">
        <v>2000</v>
      </c>
      <c r="G367" s="142">
        <v>1000</v>
      </c>
      <c r="H367" s="142">
        <v>0</v>
      </c>
      <c r="I367" s="142">
        <v>0</v>
      </c>
    </row>
    <row r="368" spans="5:9" ht="15.75" thickBot="1" x14ac:dyDescent="0.3">
      <c r="E368" s="27" t="s">
        <v>104</v>
      </c>
      <c r="F368" s="26">
        <f>F367+F366</f>
        <v>2000</v>
      </c>
      <c r="G368" s="26">
        <f t="shared" ref="G368:I368" si="44">G367+G366</f>
        <v>1000</v>
      </c>
      <c r="H368" s="26">
        <f t="shared" si="44"/>
        <v>0</v>
      </c>
      <c r="I368" s="26">
        <f t="shared" si="44"/>
        <v>0</v>
      </c>
    </row>
    <row r="369" spans="5:9" x14ac:dyDescent="0.25">
      <c r="E369" s="355" t="s">
        <v>114</v>
      </c>
      <c r="F369" s="358"/>
      <c r="G369" s="359"/>
      <c r="H369" s="359"/>
      <c r="I369" s="360"/>
    </row>
    <row r="370" spans="5:9" x14ac:dyDescent="0.25">
      <c r="E370" s="356"/>
      <c r="F370" s="361"/>
      <c r="G370" s="362"/>
      <c r="H370" s="362"/>
      <c r="I370" s="363"/>
    </row>
    <row r="371" spans="5:9" ht="15.75" thickBot="1" x14ac:dyDescent="0.3">
      <c r="E371" s="357"/>
      <c r="F371" s="364"/>
      <c r="G371" s="365"/>
      <c r="H371" s="365"/>
      <c r="I371" s="366"/>
    </row>
    <row r="372" spans="5:9" ht="15.75" thickBot="1" x14ac:dyDescent="0.3">
      <c r="E372" s="30" t="s">
        <v>260</v>
      </c>
      <c r="F372" s="543" t="s">
        <v>505</v>
      </c>
      <c r="G372" s="544"/>
      <c r="H372" s="544"/>
      <c r="I372" s="545"/>
    </row>
    <row r="373" spans="5:9" ht="15.75" thickBot="1" x14ac:dyDescent="0.3">
      <c r="E373" s="18" t="s">
        <v>506</v>
      </c>
      <c r="F373" s="347" t="s">
        <v>507</v>
      </c>
      <c r="G373" s="348"/>
      <c r="H373" s="348"/>
      <c r="I373" s="349"/>
    </row>
    <row r="374" spans="5:9" ht="15.75" thickBot="1" x14ac:dyDescent="0.3">
      <c r="E374" s="19" t="s">
        <v>73</v>
      </c>
      <c r="F374" s="335" t="s">
        <v>508</v>
      </c>
      <c r="G374" s="336"/>
      <c r="H374" s="336"/>
      <c r="I374" s="337"/>
    </row>
    <row r="375" spans="5:9" ht="15.75" thickBot="1" x14ac:dyDescent="0.3">
      <c r="E375" s="19" t="s">
        <v>75</v>
      </c>
      <c r="F375" s="347" t="s">
        <v>589</v>
      </c>
      <c r="G375" s="348"/>
      <c r="H375" s="348"/>
      <c r="I375" s="349"/>
    </row>
    <row r="376" spans="5:9" x14ac:dyDescent="0.25">
      <c r="E376" s="350"/>
      <c r="F376" s="20">
        <v>2018</v>
      </c>
      <c r="G376" s="20">
        <v>2019</v>
      </c>
      <c r="H376" s="20">
        <v>2020</v>
      </c>
      <c r="I376" s="20">
        <v>2021</v>
      </c>
    </row>
    <row r="377" spans="5:9" ht="15.75" thickBot="1" x14ac:dyDescent="0.3">
      <c r="E377" s="351"/>
      <c r="F377" s="21" t="s">
        <v>42</v>
      </c>
      <c r="G377" s="21" t="s">
        <v>43</v>
      </c>
      <c r="H377" s="21" t="s">
        <v>43</v>
      </c>
      <c r="I377" s="21" t="s">
        <v>43</v>
      </c>
    </row>
    <row r="378" spans="5:9" ht="15.75" thickBot="1" x14ac:dyDescent="0.3">
      <c r="E378" s="19" t="s">
        <v>77</v>
      </c>
      <c r="F378" s="22">
        <v>40</v>
      </c>
      <c r="G378" s="22">
        <v>10</v>
      </c>
      <c r="H378" s="22">
        <v>10</v>
      </c>
      <c r="I378" s="22">
        <v>10</v>
      </c>
    </row>
    <row r="379" spans="5:9" ht="15.75" thickBot="1" x14ac:dyDescent="0.3">
      <c r="E379" s="19" t="s">
        <v>78</v>
      </c>
      <c r="F379" s="22">
        <f>F389</f>
        <v>2000</v>
      </c>
      <c r="G379" s="22">
        <f t="shared" ref="G379:I379" si="45">G389</f>
        <v>500</v>
      </c>
      <c r="H379" s="22">
        <f t="shared" si="45"/>
        <v>500</v>
      </c>
      <c r="I379" s="22">
        <f t="shared" si="45"/>
        <v>500</v>
      </c>
    </row>
    <row r="380" spans="5:9" ht="15.75" thickBot="1" x14ac:dyDescent="0.3">
      <c r="E380" s="19" t="s">
        <v>79</v>
      </c>
      <c r="F380" s="22">
        <f>F379/F378</f>
        <v>50</v>
      </c>
      <c r="G380" s="22">
        <f t="shared" ref="G380:I380" si="46">G379/G378</f>
        <v>50</v>
      </c>
      <c r="H380" s="22">
        <f t="shared" si="46"/>
        <v>50</v>
      </c>
      <c r="I380" s="22">
        <f t="shared" si="46"/>
        <v>50</v>
      </c>
    </row>
    <row r="381" spans="5:9" ht="15.75" thickBot="1" x14ac:dyDescent="0.3">
      <c r="E381" s="19" t="s">
        <v>80</v>
      </c>
      <c r="F381" s="23" t="s">
        <v>81</v>
      </c>
      <c r="G381" s="13">
        <f>G378/F378-1</f>
        <v>-0.75</v>
      </c>
      <c r="H381" s="13">
        <f t="shared" ref="H381:I383" si="47">H378/G378-1</f>
        <v>0</v>
      </c>
      <c r="I381" s="13">
        <f t="shared" si="47"/>
        <v>0</v>
      </c>
    </row>
    <row r="382" spans="5:9" ht="15.75" thickBot="1" x14ac:dyDescent="0.3">
      <c r="E382" s="19" t="s">
        <v>82</v>
      </c>
      <c r="F382" s="23" t="s">
        <v>81</v>
      </c>
      <c r="G382" s="13">
        <f>G379/F379-1</f>
        <v>-0.75</v>
      </c>
      <c r="H382" s="13">
        <f t="shared" si="47"/>
        <v>0</v>
      </c>
      <c r="I382" s="13">
        <f t="shared" si="47"/>
        <v>0</v>
      </c>
    </row>
    <row r="383" spans="5:9" ht="15.75" thickBot="1" x14ac:dyDescent="0.3">
      <c r="E383" s="19" t="s">
        <v>83</v>
      </c>
      <c r="F383" s="23" t="s">
        <v>81</v>
      </c>
      <c r="G383" s="13">
        <f>G380/F380-1</f>
        <v>0</v>
      </c>
      <c r="H383" s="13">
        <f t="shared" si="47"/>
        <v>0</v>
      </c>
      <c r="I383" s="13">
        <f t="shared" si="47"/>
        <v>0</v>
      </c>
    </row>
    <row r="384" spans="5:9" ht="15.75" thickBot="1" x14ac:dyDescent="0.3">
      <c r="E384" s="338" t="s">
        <v>377</v>
      </c>
      <c r="F384" s="339"/>
      <c r="G384" s="339"/>
      <c r="H384" s="339"/>
      <c r="I384" s="340"/>
    </row>
    <row r="385" spans="5:9" x14ac:dyDescent="0.25">
      <c r="E385" s="350"/>
      <c r="F385" s="20">
        <v>2018</v>
      </c>
      <c r="G385" s="20">
        <v>2019</v>
      </c>
      <c r="H385" s="20">
        <v>2020</v>
      </c>
      <c r="I385" s="20">
        <v>2021</v>
      </c>
    </row>
    <row r="386" spans="5:9" ht="15.75" thickBot="1" x14ac:dyDescent="0.3">
      <c r="E386" s="351"/>
      <c r="F386" s="21" t="s">
        <v>42</v>
      </c>
      <c r="G386" s="21" t="s">
        <v>43</v>
      </c>
      <c r="H386" s="21" t="s">
        <v>43</v>
      </c>
      <c r="I386" s="21" t="s">
        <v>43</v>
      </c>
    </row>
    <row r="387" spans="5:9" ht="15.75" thickBot="1" x14ac:dyDescent="0.3">
      <c r="E387" s="24" t="s">
        <v>170</v>
      </c>
      <c r="F387" s="25"/>
      <c r="G387" s="25"/>
      <c r="H387" s="25"/>
      <c r="I387" s="25"/>
    </row>
    <row r="388" spans="5:9" ht="15.75" thickBot="1" x14ac:dyDescent="0.3">
      <c r="E388" s="24" t="s">
        <v>113</v>
      </c>
      <c r="F388" s="26">
        <v>2000</v>
      </c>
      <c r="G388" s="25">
        <v>500</v>
      </c>
      <c r="H388" s="25">
        <v>500</v>
      </c>
      <c r="I388" s="25">
        <v>500</v>
      </c>
    </row>
    <row r="389" spans="5:9" ht="15.75" thickBot="1" x14ac:dyDescent="0.3">
      <c r="E389" s="27" t="s">
        <v>265</v>
      </c>
      <c r="F389" s="26">
        <f>F388+F387</f>
        <v>2000</v>
      </c>
      <c r="G389" s="26">
        <f t="shared" ref="G389:I389" si="48">G388+G387</f>
        <v>500</v>
      </c>
      <c r="H389" s="26">
        <f t="shared" si="48"/>
        <v>500</v>
      </c>
      <c r="I389" s="26">
        <f t="shared" si="48"/>
        <v>500</v>
      </c>
    </row>
    <row r="390" spans="5:9" x14ac:dyDescent="0.25">
      <c r="E390" s="355" t="s">
        <v>114</v>
      </c>
      <c r="F390" s="358"/>
      <c r="G390" s="359"/>
      <c r="H390" s="359"/>
      <c r="I390" s="360"/>
    </row>
    <row r="391" spans="5:9" x14ac:dyDescent="0.25">
      <c r="E391" s="356"/>
      <c r="F391" s="361"/>
      <c r="G391" s="362"/>
      <c r="H391" s="362"/>
      <c r="I391" s="363"/>
    </row>
    <row r="392" spans="5:9" ht="15.75" thickBot="1" x14ac:dyDescent="0.3">
      <c r="E392" s="357"/>
      <c r="F392" s="364"/>
      <c r="G392" s="365"/>
      <c r="H392" s="365"/>
      <c r="I392" s="366"/>
    </row>
    <row r="393" spans="5:9" ht="15.75" thickBot="1" x14ac:dyDescent="0.3">
      <c r="E393" s="19" t="s">
        <v>260</v>
      </c>
      <c r="F393" s="543" t="s">
        <v>509</v>
      </c>
      <c r="G393" s="544"/>
      <c r="H393" s="544"/>
      <c r="I393" s="545"/>
    </row>
    <row r="394" spans="5:9" ht="15.75" thickBot="1" x14ac:dyDescent="0.3">
      <c r="E394" s="18" t="s">
        <v>510</v>
      </c>
      <c r="F394" s="347" t="s">
        <v>511</v>
      </c>
      <c r="G394" s="348"/>
      <c r="H394" s="348"/>
      <c r="I394" s="349"/>
    </row>
    <row r="395" spans="5:9" ht="15.75" thickBot="1" x14ac:dyDescent="0.3">
      <c r="E395" s="19" t="s">
        <v>73</v>
      </c>
      <c r="F395" s="335" t="s">
        <v>512</v>
      </c>
      <c r="G395" s="336"/>
      <c r="H395" s="336"/>
      <c r="I395" s="337"/>
    </row>
    <row r="396" spans="5:9" ht="15.75" thickBot="1" x14ac:dyDescent="0.3">
      <c r="E396" s="19" t="s">
        <v>75</v>
      </c>
      <c r="F396" s="347" t="s">
        <v>589</v>
      </c>
      <c r="G396" s="348"/>
      <c r="H396" s="348"/>
      <c r="I396" s="349"/>
    </row>
    <row r="397" spans="5:9" x14ac:dyDescent="0.25">
      <c r="E397" s="350"/>
      <c r="F397" s="20">
        <v>2018</v>
      </c>
      <c r="G397" s="20">
        <v>2019</v>
      </c>
      <c r="H397" s="20">
        <v>2020</v>
      </c>
      <c r="I397" s="20">
        <v>2021</v>
      </c>
    </row>
    <row r="398" spans="5:9" ht="15.75" thickBot="1" x14ac:dyDescent="0.3">
      <c r="E398" s="351"/>
      <c r="F398" s="21" t="s">
        <v>42</v>
      </c>
      <c r="G398" s="21" t="s">
        <v>43</v>
      </c>
      <c r="H398" s="21" t="s">
        <v>43</v>
      </c>
      <c r="I398" s="21" t="s">
        <v>43</v>
      </c>
    </row>
    <row r="399" spans="5:9" ht="15.75" thickBot="1" x14ac:dyDescent="0.3">
      <c r="E399" s="19" t="s">
        <v>77</v>
      </c>
      <c r="F399" s="22">
        <v>4</v>
      </c>
      <c r="G399" s="22">
        <v>10</v>
      </c>
      <c r="H399" s="22">
        <v>10</v>
      </c>
      <c r="I399" s="22">
        <v>12</v>
      </c>
    </row>
    <row r="400" spans="5:9" ht="15.75" thickBot="1" x14ac:dyDescent="0.3">
      <c r="E400" s="19" t="s">
        <v>78</v>
      </c>
      <c r="F400" s="22">
        <f>F410</f>
        <v>5500</v>
      </c>
      <c r="G400" s="22">
        <f t="shared" ref="G400:I400" si="49">G410</f>
        <v>7500</v>
      </c>
      <c r="H400" s="22">
        <f t="shared" si="49"/>
        <v>8500</v>
      </c>
      <c r="I400" s="22">
        <f t="shared" si="49"/>
        <v>10000</v>
      </c>
    </row>
    <row r="401" spans="5:9" ht="15.75" thickBot="1" x14ac:dyDescent="0.3">
      <c r="E401" s="19" t="s">
        <v>79</v>
      </c>
      <c r="F401" s="22">
        <f>F400/F399</f>
        <v>1375</v>
      </c>
      <c r="G401" s="22">
        <f t="shared" ref="G401:I401" si="50">G400/G399</f>
        <v>750</v>
      </c>
      <c r="H401" s="22">
        <f t="shared" si="50"/>
        <v>850</v>
      </c>
      <c r="I401" s="22">
        <f t="shared" si="50"/>
        <v>833.33333333333337</v>
      </c>
    </row>
    <row r="402" spans="5:9" ht="15.75" thickBot="1" x14ac:dyDescent="0.3">
      <c r="E402" s="19" t="s">
        <v>80</v>
      </c>
      <c r="F402" s="23" t="s">
        <v>81</v>
      </c>
      <c r="G402" s="13">
        <f>G399/F399-1</f>
        <v>1.5</v>
      </c>
      <c r="H402" s="13">
        <f t="shared" ref="H402:I404" si="51">H399/G399-1</f>
        <v>0</v>
      </c>
      <c r="I402" s="13">
        <f t="shared" si="51"/>
        <v>0.19999999999999996</v>
      </c>
    </row>
    <row r="403" spans="5:9" ht="15.75" thickBot="1" x14ac:dyDescent="0.3">
      <c r="E403" s="19" t="s">
        <v>82</v>
      </c>
      <c r="F403" s="23" t="s">
        <v>81</v>
      </c>
      <c r="G403" s="13">
        <f>G400/F400-1</f>
        <v>0.36363636363636354</v>
      </c>
      <c r="H403" s="13">
        <f t="shared" si="51"/>
        <v>0.1333333333333333</v>
      </c>
      <c r="I403" s="13">
        <f t="shared" si="51"/>
        <v>0.17647058823529416</v>
      </c>
    </row>
    <row r="404" spans="5:9" ht="15.75" thickBot="1" x14ac:dyDescent="0.3">
      <c r="E404" s="19" t="s">
        <v>83</v>
      </c>
      <c r="F404" s="23" t="s">
        <v>81</v>
      </c>
      <c r="G404" s="13">
        <f>G401/F401-1</f>
        <v>-0.45454545454545459</v>
      </c>
      <c r="H404" s="13">
        <f t="shared" si="51"/>
        <v>0.1333333333333333</v>
      </c>
      <c r="I404" s="13">
        <f t="shared" si="51"/>
        <v>-1.9607843137254832E-2</v>
      </c>
    </row>
    <row r="405" spans="5:9" ht="15.75" thickBot="1" x14ac:dyDescent="0.3">
      <c r="E405" s="338" t="s">
        <v>377</v>
      </c>
      <c r="F405" s="339"/>
      <c r="G405" s="339"/>
      <c r="H405" s="339"/>
      <c r="I405" s="340"/>
    </row>
    <row r="406" spans="5:9" x14ac:dyDescent="0.25">
      <c r="E406" s="350"/>
      <c r="F406" s="20">
        <v>2018</v>
      </c>
      <c r="G406" s="20">
        <v>2019</v>
      </c>
      <c r="H406" s="20">
        <v>2020</v>
      </c>
      <c r="I406" s="20">
        <v>2021</v>
      </c>
    </row>
    <row r="407" spans="5:9" ht="15.75" thickBot="1" x14ac:dyDescent="0.3">
      <c r="E407" s="351"/>
      <c r="F407" s="21" t="s">
        <v>42</v>
      </c>
      <c r="G407" s="21" t="s">
        <v>43</v>
      </c>
      <c r="H407" s="21" t="s">
        <v>43</v>
      </c>
      <c r="I407" s="21" t="s">
        <v>43</v>
      </c>
    </row>
    <row r="408" spans="5:9" ht="15.75" thickBot="1" x14ac:dyDescent="0.3">
      <c r="E408" s="24" t="s">
        <v>170</v>
      </c>
      <c r="F408" s="25"/>
      <c r="G408" s="25"/>
      <c r="H408" s="25"/>
      <c r="I408" s="25"/>
    </row>
    <row r="409" spans="5:9" ht="15.75" thickBot="1" x14ac:dyDescent="0.3">
      <c r="E409" s="24" t="s">
        <v>113</v>
      </c>
      <c r="F409" s="26">
        <v>5500</v>
      </c>
      <c r="G409" s="25">
        <v>7500</v>
      </c>
      <c r="H409" s="25">
        <v>8500</v>
      </c>
      <c r="I409" s="25">
        <v>10000</v>
      </c>
    </row>
    <row r="410" spans="5:9" ht="15.75" thickBot="1" x14ac:dyDescent="0.3">
      <c r="E410" s="27" t="s">
        <v>270</v>
      </c>
      <c r="F410" s="26">
        <f>F409+F408</f>
        <v>5500</v>
      </c>
      <c r="G410" s="26">
        <f t="shared" ref="G410:I410" si="52">G409+G408</f>
        <v>7500</v>
      </c>
      <c r="H410" s="26">
        <f t="shared" si="52"/>
        <v>8500</v>
      </c>
      <c r="I410" s="26">
        <f t="shared" si="52"/>
        <v>10000</v>
      </c>
    </row>
    <row r="411" spans="5:9" x14ac:dyDescent="0.25">
      <c r="E411" s="355" t="s">
        <v>114</v>
      </c>
      <c r="F411" s="358"/>
      <c r="G411" s="359"/>
      <c r="H411" s="359"/>
      <c r="I411" s="360"/>
    </row>
    <row r="412" spans="5:9" x14ac:dyDescent="0.25">
      <c r="E412" s="356"/>
      <c r="F412" s="361"/>
      <c r="G412" s="362"/>
      <c r="H412" s="362"/>
      <c r="I412" s="363"/>
    </row>
    <row r="413" spans="5:9" ht="2.25" customHeight="1" thickBot="1" x14ac:dyDescent="0.3">
      <c r="E413" s="357"/>
      <c r="F413" s="364"/>
      <c r="G413" s="365"/>
      <c r="H413" s="365"/>
      <c r="I413" s="366"/>
    </row>
    <row r="414" spans="5:9" ht="24.75" thickBot="1" x14ac:dyDescent="0.3">
      <c r="E414" s="51" t="s">
        <v>122</v>
      </c>
      <c r="F414" s="78">
        <f>F400+F379+F358+F337+F316+F290+F268+F247+F221+F198+F177+F151+F128+F110+F92+F72+F51+F25</f>
        <v>336700</v>
      </c>
      <c r="G414" s="78">
        <f t="shared" ref="G414:I414" si="53">G400+G379+G358+G337+G316+G290+G268+G247+G221+G198+G177+G151+G128+G110+G92+G72+G51+G25</f>
        <v>344674</v>
      </c>
      <c r="H414" s="78">
        <f t="shared" si="53"/>
        <v>339500</v>
      </c>
      <c r="I414" s="78">
        <f t="shared" si="53"/>
        <v>347320</v>
      </c>
    </row>
    <row r="415" spans="5:9" ht="24.75" thickBot="1" x14ac:dyDescent="0.3">
      <c r="E415" s="51" t="s">
        <v>123</v>
      </c>
      <c r="F415" s="78">
        <f>F417+F419+F421+F423+F425+F427+F429+F431+F433</f>
        <v>336700</v>
      </c>
      <c r="G415" s="78">
        <f>G417+G419+G421+G423+G425+G427+G429+G431+G433</f>
        <v>344674</v>
      </c>
      <c r="H415" s="78">
        <f>H417+H419+H421+H423+H425+H427+H429+H431+H433</f>
        <v>339500</v>
      </c>
      <c r="I415" s="78">
        <f>I417+I419+I421+I423+I425+I427+I429+I431+I433</f>
        <v>347320</v>
      </c>
    </row>
    <row r="416" spans="5:9" ht="24.75" thickBot="1" x14ac:dyDescent="0.3">
      <c r="E416" s="79" t="s">
        <v>124</v>
      </c>
      <c r="F416" s="80"/>
      <c r="G416" s="81">
        <f>G415/F415-1</f>
        <v>2.3682803682803621E-2</v>
      </c>
      <c r="H416" s="81">
        <f>H415/G415-1</f>
        <v>-1.5011286026796355E-2</v>
      </c>
      <c r="I416" s="81">
        <f>I415/H415-1</f>
        <v>2.3033873343151656E-2</v>
      </c>
    </row>
    <row r="417" spans="5:9" ht="15.75" thickBot="1" x14ac:dyDescent="0.3">
      <c r="E417" s="24" t="s">
        <v>85</v>
      </c>
      <c r="F417" s="25">
        <f>F298+F229+F206+F159+F136+F33</f>
        <v>208700</v>
      </c>
      <c r="G417" s="25">
        <f t="shared" ref="G417:I417" si="54">G298+G229+G206+G159+G136+G33</f>
        <v>208700</v>
      </c>
      <c r="H417" s="25">
        <f t="shared" si="54"/>
        <v>209500</v>
      </c>
      <c r="I417" s="25">
        <f t="shared" si="54"/>
        <v>209920</v>
      </c>
    </row>
    <row r="418" spans="5:9" ht="15.75" thickBot="1" x14ac:dyDescent="0.3">
      <c r="E418" s="82" t="s">
        <v>125</v>
      </c>
      <c r="F418" s="26"/>
      <c r="G418" s="83">
        <f>G417/F417-1</f>
        <v>0</v>
      </c>
      <c r="H418" s="83">
        <f>H417/G417-1</f>
        <v>3.8332534738858559E-3</v>
      </c>
      <c r="I418" s="83">
        <f>I417/H417-1</f>
        <v>2.0047732696897302E-3</v>
      </c>
    </row>
    <row r="419" spans="5:9" ht="15.75" thickBot="1" x14ac:dyDescent="0.3">
      <c r="E419" s="24" t="s">
        <v>86</v>
      </c>
      <c r="F419" s="25">
        <f>F299+F230+F207+F160+F137+F34</f>
        <v>33000</v>
      </c>
      <c r="G419" s="25">
        <f t="shared" ref="G419:I419" si="55">G299+G230+G207+G160+G137+G34</f>
        <v>33000</v>
      </c>
      <c r="H419" s="25">
        <f t="shared" si="55"/>
        <v>33300</v>
      </c>
      <c r="I419" s="25">
        <f t="shared" si="55"/>
        <v>33300</v>
      </c>
    </row>
    <row r="420" spans="5:9" ht="24.75" thickBot="1" x14ac:dyDescent="0.3">
      <c r="E420" s="82" t="s">
        <v>126</v>
      </c>
      <c r="F420" s="26"/>
      <c r="G420" s="83">
        <f>G419/F419-1</f>
        <v>0</v>
      </c>
      <c r="H420" s="83">
        <f>H419/G419-1</f>
        <v>9.0909090909090384E-3</v>
      </c>
      <c r="I420" s="83">
        <f>I419/H419-1</f>
        <v>0</v>
      </c>
    </row>
    <row r="421" spans="5:9" ht="15.75" thickBot="1" x14ac:dyDescent="0.3">
      <c r="E421" s="24" t="s">
        <v>87</v>
      </c>
      <c r="F421" s="25">
        <f>F300+F231+F208+F161+F138+F35</f>
        <v>49000</v>
      </c>
      <c r="G421" s="25">
        <f t="shared" ref="G421:I421" si="56">G300+G231+G208+G161+G138+G35</f>
        <v>52200</v>
      </c>
      <c r="H421" s="25">
        <f t="shared" si="56"/>
        <v>53000</v>
      </c>
      <c r="I421" s="25">
        <f t="shared" si="56"/>
        <v>57600</v>
      </c>
    </row>
    <row r="422" spans="5:9" ht="15.75" thickBot="1" x14ac:dyDescent="0.3">
      <c r="E422" s="82" t="s">
        <v>127</v>
      </c>
      <c r="F422" s="26"/>
      <c r="G422" s="83">
        <f>G421/F421-1</f>
        <v>6.5306122448979487E-2</v>
      </c>
      <c r="H422" s="83">
        <f>H421/G421-1</f>
        <v>1.5325670498084198E-2</v>
      </c>
      <c r="I422" s="83">
        <f>I421/H421-1</f>
        <v>8.679245283018866E-2</v>
      </c>
    </row>
    <row r="423" spans="5:9" ht="15.75" thickBot="1" x14ac:dyDescent="0.3">
      <c r="E423" s="24" t="s">
        <v>88</v>
      </c>
      <c r="F423" s="25">
        <f>F301+F232+F209+F162+F139+F36</f>
        <v>0</v>
      </c>
      <c r="G423" s="25">
        <f t="shared" ref="G423:I423" si="57">G301+G232+G209+G162+G139+G36</f>
        <v>0</v>
      </c>
      <c r="H423" s="25">
        <f t="shared" si="57"/>
        <v>0</v>
      </c>
      <c r="I423" s="25">
        <f t="shared" si="57"/>
        <v>0</v>
      </c>
    </row>
    <row r="424" spans="5:9" ht="15.75" thickBot="1" x14ac:dyDescent="0.3">
      <c r="E424" s="82" t="s">
        <v>231</v>
      </c>
      <c r="F424" s="26"/>
      <c r="G424" s="83" t="e">
        <f>G423/F423-1</f>
        <v>#DIV/0!</v>
      </c>
      <c r="H424" s="83" t="e">
        <f>H423/G423-1</f>
        <v>#DIV/0!</v>
      </c>
      <c r="I424" s="83" t="e">
        <f>I423/H423-1</f>
        <v>#DIV/0!</v>
      </c>
    </row>
    <row r="425" spans="5:9" ht="15.75" thickBot="1" x14ac:dyDescent="0.3">
      <c r="E425" s="24" t="s">
        <v>89</v>
      </c>
      <c r="F425" s="25">
        <f>F302+F233+F210+F163+F140+F37</f>
        <v>0</v>
      </c>
      <c r="G425" s="25">
        <f t="shared" ref="G425:I425" si="58">G302+G233+G210+G163+G140+G37</f>
        <v>0</v>
      </c>
      <c r="H425" s="25">
        <f t="shared" si="58"/>
        <v>0</v>
      </c>
      <c r="I425" s="25">
        <f t="shared" si="58"/>
        <v>0</v>
      </c>
    </row>
    <row r="426" spans="5:9" ht="15.75" thickBot="1" x14ac:dyDescent="0.3">
      <c r="E426" s="82" t="s">
        <v>232</v>
      </c>
      <c r="F426" s="26"/>
      <c r="G426" s="83" t="e">
        <f>G425/F425-1</f>
        <v>#DIV/0!</v>
      </c>
      <c r="H426" s="83" t="e">
        <f>H425/G425-1</f>
        <v>#DIV/0!</v>
      </c>
      <c r="I426" s="83" t="e">
        <f>I425/H425-1</f>
        <v>#DIV/0!</v>
      </c>
    </row>
    <row r="427" spans="5:9" ht="15.75" thickBot="1" x14ac:dyDescent="0.3">
      <c r="E427" s="24" t="s">
        <v>90</v>
      </c>
      <c r="F427" s="25">
        <f>F303+F234+F211+F164+F141+F38</f>
        <v>17000</v>
      </c>
      <c r="G427" s="25">
        <f t="shared" ref="G427:I427" si="59">G303+G234+G211+G164+G141+G38</f>
        <v>19000</v>
      </c>
      <c r="H427" s="25">
        <f t="shared" si="59"/>
        <v>20000</v>
      </c>
      <c r="I427" s="25">
        <f t="shared" si="59"/>
        <v>20500</v>
      </c>
    </row>
    <row r="428" spans="5:9" ht="15.75" thickBot="1" x14ac:dyDescent="0.3">
      <c r="E428" s="82" t="s">
        <v>233</v>
      </c>
      <c r="F428" s="26"/>
      <c r="G428" s="83">
        <f>G427/F427-1</f>
        <v>0.11764705882352944</v>
      </c>
      <c r="H428" s="83">
        <f>H427/G427-1</f>
        <v>5.2631578947368363E-2</v>
      </c>
      <c r="I428" s="83">
        <f>I427/H427-1</f>
        <v>2.4999999999999911E-2</v>
      </c>
    </row>
    <row r="429" spans="5:9" ht="15.75" thickBot="1" x14ac:dyDescent="0.3">
      <c r="E429" s="24" t="s">
        <v>91</v>
      </c>
      <c r="F429" s="25">
        <f>F304+F235+F212+F165+F142+F39</f>
        <v>0</v>
      </c>
      <c r="G429" s="25">
        <f t="shared" ref="G429:I429" si="60">G304+G235+G212+G165+G142+G39</f>
        <v>0</v>
      </c>
      <c r="H429" s="25">
        <f t="shared" si="60"/>
        <v>0</v>
      </c>
      <c r="I429" s="25">
        <f t="shared" si="60"/>
        <v>0</v>
      </c>
    </row>
    <row r="430" spans="5:9" ht="24.75" thickBot="1" x14ac:dyDescent="0.3">
      <c r="E430" s="82" t="s">
        <v>234</v>
      </c>
      <c r="F430" s="26"/>
      <c r="G430" s="83" t="e">
        <f>G429/F429-1</f>
        <v>#DIV/0!</v>
      </c>
      <c r="H430" s="83" t="e">
        <f>H429/G429-1</f>
        <v>#DIV/0!</v>
      </c>
      <c r="I430" s="83" t="e">
        <f>I429/H429-1</f>
        <v>#DIV/0!</v>
      </c>
    </row>
    <row r="431" spans="5:9" ht="15.75" thickBot="1" x14ac:dyDescent="0.3">
      <c r="E431" s="24" t="s">
        <v>128</v>
      </c>
      <c r="F431" s="25">
        <f>F408+F387+F366+F345+F324+F276+F255+F185+F118+F100+F80+F59</f>
        <v>7000</v>
      </c>
      <c r="G431" s="25">
        <f t="shared" ref="G431:I431" si="61">G408+G387+G366+G345+G324+G276+G255+G185+G118+G100+G80+G59</f>
        <v>7000</v>
      </c>
      <c r="H431" s="25">
        <f t="shared" si="61"/>
        <v>0</v>
      </c>
      <c r="I431" s="25">
        <f t="shared" si="61"/>
        <v>0</v>
      </c>
    </row>
    <row r="432" spans="5:9" ht="15.75" thickBot="1" x14ac:dyDescent="0.3">
      <c r="E432" s="82" t="s">
        <v>129</v>
      </c>
      <c r="F432" s="26"/>
      <c r="G432" s="83">
        <f>G431/F431-1</f>
        <v>0</v>
      </c>
      <c r="H432" s="83">
        <f>H431/G431-1</f>
        <v>-1</v>
      </c>
      <c r="I432" s="83" t="e">
        <f>I431/H431-1</f>
        <v>#DIV/0!</v>
      </c>
    </row>
    <row r="433" spans="5:9" ht="15.75" thickBot="1" x14ac:dyDescent="0.3">
      <c r="E433" s="24" t="s">
        <v>235</v>
      </c>
      <c r="F433" s="25">
        <f>F409+F388+F367+F346+F325+F277+F256+F186+F119+F101+F81+F60</f>
        <v>22000</v>
      </c>
      <c r="G433" s="25">
        <f t="shared" ref="G433:I433" si="62">G409+G388+G367+G346+G325+G277+G256+G186+G119+G101+G81+G60</f>
        <v>24774</v>
      </c>
      <c r="H433" s="25">
        <f t="shared" si="62"/>
        <v>23700</v>
      </c>
      <c r="I433" s="25">
        <f t="shared" si="62"/>
        <v>26000</v>
      </c>
    </row>
    <row r="434" spans="5:9" ht="15.75" thickBot="1" x14ac:dyDescent="0.3">
      <c r="E434" s="82" t="s">
        <v>236</v>
      </c>
      <c r="F434" s="26"/>
      <c r="G434" s="83">
        <f>G433/F433-1</f>
        <v>0.12609090909090903</v>
      </c>
      <c r="H434" s="83">
        <f>H433/G433-1</f>
        <v>-4.3351901186728048E-2</v>
      </c>
      <c r="I434" s="83">
        <f>I433/H433-1</f>
        <v>9.704641350210963E-2</v>
      </c>
    </row>
  </sheetData>
  <mergeCells count="162">
    <mergeCell ref="E405:I405"/>
    <mergeCell ref="E406:E407"/>
    <mergeCell ref="E411:E413"/>
    <mergeCell ref="F411:I413"/>
    <mergeCell ref="E376:E377"/>
    <mergeCell ref="E384:I384"/>
    <mergeCell ref="E385:E386"/>
    <mergeCell ref="E390:E392"/>
    <mergeCell ref="F390:I392"/>
    <mergeCell ref="F393:I393"/>
    <mergeCell ref="F394:I394"/>
    <mergeCell ref="F395:I395"/>
    <mergeCell ref="F396:I396"/>
    <mergeCell ref="E397:E398"/>
    <mergeCell ref="F374:I374"/>
    <mergeCell ref="F375:I375"/>
    <mergeCell ref="E348:E350"/>
    <mergeCell ref="F348:I350"/>
    <mergeCell ref="F351:I351"/>
    <mergeCell ref="F352:I352"/>
    <mergeCell ref="E342:I342"/>
    <mergeCell ref="E343:E344"/>
    <mergeCell ref="E287:E288"/>
    <mergeCell ref="E295:I295"/>
    <mergeCell ref="E296:E297"/>
    <mergeCell ref="F353:I353"/>
    <mergeCell ref="F354:I354"/>
    <mergeCell ref="E355:E356"/>
    <mergeCell ref="E363:I363"/>
    <mergeCell ref="E364:E365"/>
    <mergeCell ref="E369:E371"/>
    <mergeCell ref="F369:I371"/>
    <mergeCell ref="F327:I329"/>
    <mergeCell ref="F330:I330"/>
    <mergeCell ref="F331:I331"/>
    <mergeCell ref="F332:I332"/>
    <mergeCell ref="F333:I333"/>
    <mergeCell ref="E334:E335"/>
    <mergeCell ref="F286:I286"/>
    <mergeCell ref="F258:I260"/>
    <mergeCell ref="F261:I261"/>
    <mergeCell ref="F262:I262"/>
    <mergeCell ref="F263:I263"/>
    <mergeCell ref="F264:I264"/>
    <mergeCell ref="E265:E266"/>
    <mergeCell ref="F372:I372"/>
    <mergeCell ref="F373:I373"/>
    <mergeCell ref="F279:I279"/>
    <mergeCell ref="E280:I280"/>
    <mergeCell ref="E282:I282"/>
    <mergeCell ref="E283:I283"/>
    <mergeCell ref="E327:E329"/>
    <mergeCell ref="E195:E196"/>
    <mergeCell ref="E203:I203"/>
    <mergeCell ref="E204:E205"/>
    <mergeCell ref="F215:I215"/>
    <mergeCell ref="E219:E220"/>
    <mergeCell ref="E322:E323"/>
    <mergeCell ref="E321:I321"/>
    <mergeCell ref="F309:I309"/>
    <mergeCell ref="F310:I310"/>
    <mergeCell ref="F311:I311"/>
    <mergeCell ref="F312:I312"/>
    <mergeCell ref="E313:E314"/>
    <mergeCell ref="E273:I273"/>
    <mergeCell ref="E274:E275"/>
    <mergeCell ref="E244:E245"/>
    <mergeCell ref="E252:I252"/>
    <mergeCell ref="E253:E254"/>
    <mergeCell ref="E258:E260"/>
    <mergeCell ref="E239:I239"/>
    <mergeCell ref="F243:I243"/>
    <mergeCell ref="E307:I307"/>
    <mergeCell ref="E308:I308"/>
    <mergeCell ref="F284:I284"/>
    <mergeCell ref="F285:I285"/>
    <mergeCell ref="E238:I238"/>
    <mergeCell ref="F240:I240"/>
    <mergeCell ref="F241:I241"/>
    <mergeCell ref="F242:I242"/>
    <mergeCell ref="E226:I226"/>
    <mergeCell ref="E227:E228"/>
    <mergeCell ref="F216:I216"/>
    <mergeCell ref="F217:I217"/>
    <mergeCell ref="E157:E158"/>
    <mergeCell ref="E168:I168"/>
    <mergeCell ref="E169:I169"/>
    <mergeCell ref="F172:I172"/>
    <mergeCell ref="F173:I173"/>
    <mergeCell ref="E174:E175"/>
    <mergeCell ref="E191:I191"/>
    <mergeCell ref="F193:I193"/>
    <mergeCell ref="F194:I194"/>
    <mergeCell ref="E188:E190"/>
    <mergeCell ref="F188:I190"/>
    <mergeCell ref="F170:I170"/>
    <mergeCell ref="F171:I171"/>
    <mergeCell ref="E182:I182"/>
    <mergeCell ref="E183:E184"/>
    <mergeCell ref="F192:I192"/>
    <mergeCell ref="E134:E135"/>
    <mergeCell ref="F145:I145"/>
    <mergeCell ref="F146:I146"/>
    <mergeCell ref="F147:I147"/>
    <mergeCell ref="E149:E150"/>
    <mergeCell ref="E156:I156"/>
    <mergeCell ref="E83:I83"/>
    <mergeCell ref="E56:I56"/>
    <mergeCell ref="E43:I43"/>
    <mergeCell ref="E97:I97"/>
    <mergeCell ref="E84:I84"/>
    <mergeCell ref="E121:I121"/>
    <mergeCell ref="F122:I122"/>
    <mergeCell ref="F123:I123"/>
    <mergeCell ref="F124:I124"/>
    <mergeCell ref="F86:I86"/>
    <mergeCell ref="F87:I87"/>
    <mergeCell ref="F88:I88"/>
    <mergeCell ref="E89:E90"/>
    <mergeCell ref="F68:I68"/>
    <mergeCell ref="E69:E70"/>
    <mergeCell ref="E77:I77"/>
    <mergeCell ref="E78:E79"/>
    <mergeCell ref="E133:I133"/>
    <mergeCell ref="E125:E126"/>
    <mergeCell ref="E115:I115"/>
    <mergeCell ref="E116:E117"/>
    <mergeCell ref="E98:E99"/>
    <mergeCell ref="F103:I103"/>
    <mergeCell ref="F104:I104"/>
    <mergeCell ref="F105:I105"/>
    <mergeCell ref="F106:I106"/>
    <mergeCell ref="E107:E108"/>
    <mergeCell ref="F65:I65"/>
    <mergeCell ref="F66:I66"/>
    <mergeCell ref="F67:I67"/>
    <mergeCell ref="F44:I44"/>
    <mergeCell ref="F45:I45"/>
    <mergeCell ref="F46:I46"/>
    <mergeCell ref="F47:I47"/>
    <mergeCell ref="E48:E49"/>
    <mergeCell ref="F85:I85"/>
    <mergeCell ref="F20:I20"/>
    <mergeCell ref="F11:I11"/>
    <mergeCell ref="E12:E13"/>
    <mergeCell ref="F21:I21"/>
    <mergeCell ref="E22:E23"/>
    <mergeCell ref="E30:I30"/>
    <mergeCell ref="E31:E32"/>
    <mergeCell ref="E57:E58"/>
    <mergeCell ref="E62:E64"/>
    <mergeCell ref="F62:I64"/>
    <mergeCell ref="E42:I42"/>
    <mergeCell ref="E2:I2"/>
    <mergeCell ref="F4:I4"/>
    <mergeCell ref="F5:I5"/>
    <mergeCell ref="F6:I6"/>
    <mergeCell ref="E7:I7"/>
    <mergeCell ref="E8:I10"/>
    <mergeCell ref="E17:I17"/>
    <mergeCell ref="E18:I18"/>
    <mergeCell ref="F19:I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G2"/>
  <sheetViews>
    <sheetView topLeftCell="A643" zoomScale="140" zoomScaleNormal="140" workbookViewId="0">
      <selection activeCell="A613" sqref="A613:XFD617"/>
    </sheetView>
  </sheetViews>
  <sheetFormatPr defaultRowHeight="15" x14ac:dyDescent="0.25"/>
  <cols>
    <col min="3" max="3" width="28.42578125" customWidth="1"/>
    <col min="4" max="4" width="14.5703125" customWidth="1"/>
    <col min="5" max="5" width="18.140625" customWidth="1"/>
    <col min="6" max="6" width="16.5703125" customWidth="1"/>
    <col min="7" max="7" width="30.42578125" customWidth="1"/>
  </cols>
  <sheetData>
    <row r="2" spans="3:7" x14ac:dyDescent="0.25">
      <c r="C2" s="376" t="s">
        <v>33</v>
      </c>
      <c r="D2" s="376"/>
      <c r="E2" s="376"/>
      <c r="F2" s="376"/>
      <c r="G2" s="376"/>
    </row>
  </sheetData>
  <mergeCells count="1">
    <mergeCell ref="C2:G2"/>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I194"/>
  <sheetViews>
    <sheetView topLeftCell="A186" zoomScale="140" zoomScaleNormal="140" workbookViewId="0">
      <selection activeCell="G174" sqref="G174"/>
    </sheetView>
  </sheetViews>
  <sheetFormatPr defaultRowHeight="15" x14ac:dyDescent="0.25"/>
  <cols>
    <col min="2" max="3" width="0" hidden="1" customWidth="1"/>
    <col min="5" max="5" width="35" customWidth="1"/>
    <col min="6" max="8" width="21.42578125" customWidth="1"/>
    <col min="9" max="9" width="31.7109375" customWidth="1"/>
  </cols>
  <sheetData>
    <row r="2" spans="5:9" x14ac:dyDescent="0.25">
      <c r="E2" s="376" t="s">
        <v>33</v>
      </c>
      <c r="F2" s="376"/>
      <c r="G2" s="376"/>
      <c r="H2" s="376"/>
      <c r="I2" s="376"/>
    </row>
    <row r="3" spans="5:9" ht="15.75" thickBot="1" x14ac:dyDescent="0.3"/>
    <row r="4" spans="5:9" ht="15.75" thickBot="1" x14ac:dyDescent="0.3">
      <c r="E4" s="9" t="s">
        <v>34</v>
      </c>
      <c r="F4" s="457" t="s">
        <v>513</v>
      </c>
      <c r="G4" s="457"/>
      <c r="H4" s="457"/>
      <c r="I4" s="457"/>
    </row>
    <row r="5" spans="5:9" ht="15.75" thickBot="1" x14ac:dyDescent="0.3">
      <c r="E5" s="9" t="s">
        <v>6</v>
      </c>
      <c r="F5" s="309" t="s">
        <v>514</v>
      </c>
      <c r="G5" s="310"/>
      <c r="H5" s="310"/>
      <c r="I5" s="311"/>
    </row>
    <row r="6" spans="5:9" ht="15.75" thickBot="1" x14ac:dyDescent="0.3">
      <c r="E6" s="9" t="s">
        <v>36</v>
      </c>
      <c r="F6" s="312" t="s">
        <v>37</v>
      </c>
      <c r="G6" s="313"/>
      <c r="H6" s="313"/>
      <c r="I6" s="314"/>
    </row>
    <row r="7" spans="5:9" ht="15.75" thickBot="1" x14ac:dyDescent="0.3">
      <c r="E7" s="315" t="s">
        <v>7</v>
      </c>
      <c r="F7" s="316"/>
      <c r="G7" s="316"/>
      <c r="H7" s="316"/>
      <c r="I7" s="317"/>
    </row>
    <row r="8" spans="5:9" x14ac:dyDescent="0.25">
      <c r="E8" s="318" t="s">
        <v>515</v>
      </c>
      <c r="F8" s="319"/>
      <c r="G8" s="319"/>
      <c r="H8" s="319"/>
      <c r="I8" s="320"/>
    </row>
    <row r="9" spans="5:9" x14ac:dyDescent="0.25">
      <c r="E9" s="321"/>
      <c r="F9" s="322"/>
      <c r="G9" s="322"/>
      <c r="H9" s="322"/>
      <c r="I9" s="323"/>
    </row>
    <row r="10" spans="5:9" ht="32.25" customHeight="1" thickBot="1" x14ac:dyDescent="0.3">
      <c r="E10" s="324"/>
      <c r="F10" s="325"/>
      <c r="G10" s="325"/>
      <c r="H10" s="325"/>
      <c r="I10" s="326"/>
    </row>
    <row r="11" spans="5:9" ht="76.5" customHeight="1" thickBot="1" x14ac:dyDescent="0.3">
      <c r="E11" s="10" t="s">
        <v>39</v>
      </c>
      <c r="F11" s="453" t="s">
        <v>545</v>
      </c>
      <c r="G11" s="454"/>
      <c r="H11" s="454"/>
      <c r="I11" s="455"/>
    </row>
    <row r="12" spans="5:9" x14ac:dyDescent="0.25">
      <c r="E12" s="350" t="s">
        <v>139</v>
      </c>
      <c r="F12" s="47">
        <v>2018</v>
      </c>
      <c r="G12" s="47">
        <v>2019</v>
      </c>
      <c r="H12" s="47">
        <v>2020</v>
      </c>
      <c r="I12" s="47">
        <v>2021</v>
      </c>
    </row>
    <row r="13" spans="5:9" ht="15.75" thickBot="1" x14ac:dyDescent="0.3">
      <c r="E13" s="351"/>
      <c r="F13" s="48" t="s">
        <v>42</v>
      </c>
      <c r="G13" s="48" t="s">
        <v>43</v>
      </c>
      <c r="H13" s="48" t="s">
        <v>43</v>
      </c>
      <c r="I13" s="48" t="s">
        <v>43</v>
      </c>
    </row>
    <row r="14" spans="5:9" ht="15.75" thickBot="1" x14ac:dyDescent="0.3">
      <c r="E14" s="46" t="s">
        <v>458</v>
      </c>
      <c r="F14" s="14" t="s">
        <v>61</v>
      </c>
      <c r="G14" s="14" t="s">
        <v>62</v>
      </c>
      <c r="H14" s="14" t="s">
        <v>62</v>
      </c>
      <c r="I14" s="14" t="s">
        <v>62</v>
      </c>
    </row>
    <row r="15" spans="5:9" ht="41.25" customHeight="1" thickBot="1" x14ac:dyDescent="0.3">
      <c r="E15" s="51" t="s">
        <v>46</v>
      </c>
      <c r="F15" s="549" t="s">
        <v>516</v>
      </c>
      <c r="G15" s="550"/>
      <c r="H15" s="550"/>
      <c r="I15" s="551"/>
    </row>
    <row r="16" spans="5:9" ht="30.75" customHeight="1" thickBot="1" x14ac:dyDescent="0.3">
      <c r="E16" s="335" t="s">
        <v>154</v>
      </c>
      <c r="F16" s="336"/>
      <c r="G16" s="336"/>
      <c r="H16" s="336"/>
      <c r="I16" s="337"/>
    </row>
    <row r="17" spans="5:9" ht="37.5" customHeight="1" x14ac:dyDescent="0.25">
      <c r="E17" s="257" t="s">
        <v>517</v>
      </c>
      <c r="F17" s="179">
        <v>1810</v>
      </c>
      <c r="G17" s="180">
        <v>2670</v>
      </c>
      <c r="H17" s="180">
        <v>2670</v>
      </c>
      <c r="I17" s="180">
        <v>2670</v>
      </c>
    </row>
    <row r="18" spans="5:9" ht="41.25" customHeight="1" x14ac:dyDescent="0.25">
      <c r="E18" s="257" t="s">
        <v>518</v>
      </c>
      <c r="F18" s="179">
        <v>1600</v>
      </c>
      <c r="G18" s="180">
        <v>2420</v>
      </c>
      <c r="H18" s="180">
        <v>2420</v>
      </c>
      <c r="I18" s="180">
        <v>2420</v>
      </c>
    </row>
    <row r="19" spans="5:9" ht="33.75" customHeight="1" x14ac:dyDescent="0.25">
      <c r="E19" s="257" t="s">
        <v>519</v>
      </c>
      <c r="F19" s="179">
        <v>500</v>
      </c>
      <c r="G19" s="180">
        <v>750</v>
      </c>
      <c r="H19" s="180">
        <v>750</v>
      </c>
      <c r="I19" s="180">
        <v>750</v>
      </c>
    </row>
    <row r="20" spans="5:9" ht="26.25" customHeight="1" x14ac:dyDescent="0.25">
      <c r="E20" s="257" t="s">
        <v>520</v>
      </c>
      <c r="F20" s="179">
        <v>200</v>
      </c>
      <c r="G20" s="180">
        <v>300</v>
      </c>
      <c r="H20" s="180">
        <v>300</v>
      </c>
      <c r="I20" s="180">
        <v>300</v>
      </c>
    </row>
    <row r="21" spans="5:9" ht="28.5" customHeight="1" x14ac:dyDescent="0.25">
      <c r="E21" s="257" t="s">
        <v>521</v>
      </c>
      <c r="F21" s="179">
        <v>60</v>
      </c>
      <c r="G21" s="180">
        <v>90</v>
      </c>
      <c r="H21" s="180">
        <v>90</v>
      </c>
      <c r="I21" s="180">
        <v>90</v>
      </c>
    </row>
    <row r="22" spans="5:9" ht="25.5" customHeight="1" x14ac:dyDescent="0.25">
      <c r="E22" s="257" t="s">
        <v>522</v>
      </c>
      <c r="F22" s="179">
        <v>40</v>
      </c>
      <c r="G22" s="180">
        <v>60</v>
      </c>
      <c r="H22" s="180">
        <v>60</v>
      </c>
      <c r="I22" s="180">
        <v>60</v>
      </c>
    </row>
    <row r="23" spans="5:9" ht="28.5" customHeight="1" x14ac:dyDescent="0.25">
      <c r="E23" s="257" t="s">
        <v>523</v>
      </c>
      <c r="F23" s="179">
        <v>10</v>
      </c>
      <c r="G23" s="180">
        <v>10</v>
      </c>
      <c r="H23" s="180">
        <v>10</v>
      </c>
      <c r="I23" s="180">
        <v>10</v>
      </c>
    </row>
    <row r="24" spans="5:9" ht="29.25" customHeight="1" x14ac:dyDescent="0.25">
      <c r="E24" s="258" t="s">
        <v>524</v>
      </c>
      <c r="F24" s="179">
        <v>1800</v>
      </c>
      <c r="G24" s="180">
        <v>1700</v>
      </c>
      <c r="H24" s="180">
        <v>1700</v>
      </c>
      <c r="I24" s="180">
        <v>1700</v>
      </c>
    </row>
    <row r="25" spans="5:9" ht="15.75" thickBot="1" x14ac:dyDescent="0.3">
      <c r="E25" s="259" t="s">
        <v>525</v>
      </c>
      <c r="F25" s="181">
        <v>2780</v>
      </c>
      <c r="G25" s="181">
        <v>2800</v>
      </c>
      <c r="H25" s="181">
        <v>2850</v>
      </c>
      <c r="I25" s="181">
        <v>2850</v>
      </c>
    </row>
    <row r="26" spans="5:9" ht="39" thickBot="1" x14ac:dyDescent="0.3">
      <c r="E26" s="259" t="s">
        <v>526</v>
      </c>
      <c r="F26" s="25">
        <v>29164</v>
      </c>
      <c r="G26" s="25">
        <v>32780</v>
      </c>
      <c r="H26" s="25">
        <v>32800</v>
      </c>
      <c r="I26" s="25">
        <v>32800</v>
      </c>
    </row>
    <row r="27" spans="5:9" ht="15.75" thickBot="1" x14ac:dyDescent="0.3">
      <c r="E27" s="341"/>
      <c r="F27" s="342"/>
      <c r="G27" s="342"/>
      <c r="H27" s="342"/>
      <c r="I27" s="343"/>
    </row>
    <row r="28" spans="5:9" ht="15.75" thickBot="1" x14ac:dyDescent="0.3">
      <c r="E28" s="18" t="s">
        <v>109</v>
      </c>
      <c r="F28" s="344" t="s">
        <v>527</v>
      </c>
      <c r="G28" s="345"/>
      <c r="H28" s="345"/>
      <c r="I28" s="346"/>
    </row>
    <row r="29" spans="5:9" ht="27" customHeight="1" thickBot="1" x14ac:dyDescent="0.3">
      <c r="E29" s="19" t="s">
        <v>73</v>
      </c>
      <c r="F29" s="552" t="s">
        <v>528</v>
      </c>
      <c r="G29" s="553"/>
      <c r="H29" s="553"/>
      <c r="I29" s="554"/>
    </row>
    <row r="30" spans="5:9" ht="15.75" thickBot="1" x14ac:dyDescent="0.3">
      <c r="E30" s="19" t="s">
        <v>75</v>
      </c>
      <c r="F30" s="347" t="s">
        <v>375</v>
      </c>
      <c r="G30" s="348"/>
      <c r="H30" s="348"/>
      <c r="I30" s="349"/>
    </row>
    <row r="31" spans="5:9" x14ac:dyDescent="0.25">
      <c r="E31" s="350"/>
      <c r="F31" s="20">
        <v>2018</v>
      </c>
      <c r="G31" s="20">
        <v>2019</v>
      </c>
      <c r="H31" s="20">
        <v>2020</v>
      </c>
      <c r="I31" s="20">
        <v>2021</v>
      </c>
    </row>
    <row r="32" spans="5:9" ht="15.75" thickBot="1" x14ac:dyDescent="0.3">
      <c r="E32" s="351"/>
      <c r="F32" s="21" t="s">
        <v>42</v>
      </c>
      <c r="G32" s="21" t="s">
        <v>43</v>
      </c>
      <c r="H32" s="21" t="s">
        <v>43</v>
      </c>
      <c r="I32" s="21" t="s">
        <v>43</v>
      </c>
    </row>
    <row r="33" spans="5:9" ht="15.75" thickBot="1" x14ac:dyDescent="0.3">
      <c r="E33" s="19" t="s">
        <v>77</v>
      </c>
      <c r="F33" s="22">
        <v>18100</v>
      </c>
      <c r="G33" s="22">
        <v>18300</v>
      </c>
      <c r="H33" s="22">
        <v>18500</v>
      </c>
      <c r="I33" s="22">
        <v>19000</v>
      </c>
    </row>
    <row r="34" spans="5:9" ht="15.75" thickBot="1" x14ac:dyDescent="0.3">
      <c r="E34" s="19" t="s">
        <v>78</v>
      </c>
      <c r="F34" s="22">
        <v>286071</v>
      </c>
      <c r="G34" s="22">
        <v>292233</v>
      </c>
      <c r="H34" s="22">
        <v>301235</v>
      </c>
      <c r="I34" s="22">
        <v>304235</v>
      </c>
    </row>
    <row r="35" spans="5:9" ht="15.75" thickBot="1" x14ac:dyDescent="0.3">
      <c r="E35" s="19" t="s">
        <v>79</v>
      </c>
      <c r="F35" s="22">
        <v>15.805027624309393</v>
      </c>
      <c r="G35" s="22">
        <v>15.969016393442622</v>
      </c>
      <c r="H35" s="22">
        <v>16.282972972972974</v>
      </c>
      <c r="I35" s="22">
        <v>16.012368421052631</v>
      </c>
    </row>
    <row r="36" spans="5:9" ht="15.75" thickBot="1" x14ac:dyDescent="0.3">
      <c r="E36" s="19" t="s">
        <v>80</v>
      </c>
      <c r="F36" s="23" t="s">
        <v>81</v>
      </c>
      <c r="G36" s="13">
        <v>1.1049723756906049E-2</v>
      </c>
      <c r="H36" s="13">
        <v>1.0928961748633892E-2</v>
      </c>
      <c r="I36" s="13">
        <v>2.7027027027026973E-2</v>
      </c>
    </row>
    <row r="37" spans="5:9" ht="15.75" thickBot="1" x14ac:dyDescent="0.3">
      <c r="E37" s="19" t="s">
        <v>82</v>
      </c>
      <c r="F37" s="23" t="s">
        <v>81</v>
      </c>
      <c r="G37" s="13">
        <v>2.1540107176190482E-2</v>
      </c>
      <c r="H37" s="13">
        <v>3.0804187069906508E-2</v>
      </c>
      <c r="I37" s="13">
        <v>9.9590021079887237E-3</v>
      </c>
    </row>
    <row r="38" spans="5:9" ht="15.75" thickBot="1" x14ac:dyDescent="0.3">
      <c r="E38" s="19" t="s">
        <v>83</v>
      </c>
      <c r="F38" s="23" t="s">
        <v>81</v>
      </c>
      <c r="G38" s="13">
        <v>1.0375734420166483E-2</v>
      </c>
      <c r="H38" s="13">
        <v>1.9660358020502366E-2</v>
      </c>
      <c r="I38" s="13">
        <v>-1.6618866368537377E-2</v>
      </c>
    </row>
    <row r="39" spans="5:9" ht="15.75" thickBot="1" x14ac:dyDescent="0.3">
      <c r="E39" s="338" t="s">
        <v>84</v>
      </c>
      <c r="F39" s="339"/>
      <c r="G39" s="339"/>
      <c r="H39" s="339"/>
      <c r="I39" s="340"/>
    </row>
    <row r="40" spans="5:9" x14ac:dyDescent="0.25">
      <c r="E40" s="350"/>
      <c r="F40" s="20">
        <v>2018</v>
      </c>
      <c r="G40" s="20">
        <v>2019</v>
      </c>
      <c r="H40" s="20">
        <v>2020</v>
      </c>
      <c r="I40" s="20">
        <v>2021</v>
      </c>
    </row>
    <row r="41" spans="5:9" ht="15.75" thickBot="1" x14ac:dyDescent="0.3">
      <c r="E41" s="351"/>
      <c r="F41" s="21" t="s">
        <v>42</v>
      </c>
      <c r="G41" s="21" t="s">
        <v>43</v>
      </c>
      <c r="H41" s="21" t="s">
        <v>43</v>
      </c>
      <c r="I41" s="21" t="s">
        <v>43</v>
      </c>
    </row>
    <row r="42" spans="5:9" ht="15.75" thickBot="1" x14ac:dyDescent="0.3">
      <c r="E42" s="24" t="s">
        <v>85</v>
      </c>
      <c r="F42" s="181">
        <v>198433</v>
      </c>
      <c r="G42" s="181">
        <v>199000</v>
      </c>
      <c r="H42" s="181">
        <v>205000</v>
      </c>
      <c r="I42" s="181">
        <v>205000</v>
      </c>
    </row>
    <row r="43" spans="5:9" ht="15.75" thickBot="1" x14ac:dyDescent="0.3">
      <c r="E43" s="24" t="s">
        <v>86</v>
      </c>
      <c r="F43" s="181">
        <v>33138</v>
      </c>
      <c r="G43" s="181">
        <v>33233</v>
      </c>
      <c r="H43" s="181">
        <v>34235</v>
      </c>
      <c r="I43" s="181">
        <v>34235</v>
      </c>
    </row>
    <row r="44" spans="5:9" ht="15.75" thickBot="1" x14ac:dyDescent="0.3">
      <c r="E44" s="24" t="s">
        <v>87</v>
      </c>
      <c r="F44" s="182">
        <v>54500</v>
      </c>
      <c r="G44" s="181">
        <v>60000</v>
      </c>
      <c r="H44" s="181">
        <v>62000</v>
      </c>
      <c r="I44" s="181">
        <v>65000</v>
      </c>
    </row>
    <row r="45" spans="5:9" ht="15.75" thickBot="1" x14ac:dyDescent="0.3">
      <c r="E45" s="24" t="s">
        <v>88</v>
      </c>
      <c r="F45" s="182"/>
      <c r="G45" s="181"/>
      <c r="H45" s="181"/>
      <c r="I45" s="181"/>
    </row>
    <row r="46" spans="5:9" ht="15.75" thickBot="1" x14ac:dyDescent="0.3">
      <c r="E46" s="24" t="s">
        <v>89</v>
      </c>
      <c r="F46" s="182"/>
      <c r="G46" s="181"/>
      <c r="H46" s="181"/>
      <c r="I46" s="181"/>
    </row>
    <row r="47" spans="5:9" ht="15.75" thickBot="1" x14ac:dyDescent="0.3">
      <c r="E47" s="24" t="s">
        <v>90</v>
      </c>
      <c r="F47" s="182"/>
      <c r="G47" s="181"/>
      <c r="H47" s="181"/>
      <c r="I47" s="181"/>
    </row>
    <row r="48" spans="5:9" ht="15.75" thickBot="1" x14ac:dyDescent="0.3">
      <c r="E48" s="24" t="s">
        <v>91</v>
      </c>
      <c r="F48" s="182"/>
      <c r="G48" s="181"/>
      <c r="H48" s="181"/>
      <c r="I48" s="181"/>
    </row>
    <row r="49" spans="5:9" ht="15.75" thickBot="1" x14ac:dyDescent="0.3">
      <c r="E49" s="27" t="s">
        <v>92</v>
      </c>
      <c r="F49" s="182">
        <f>F48+F47+F46+F45+F44+F43+F42</f>
        <v>286071</v>
      </c>
      <c r="G49" s="182">
        <f>G48+G47+G46+G45+G44+G43+G42</f>
        <v>292233</v>
      </c>
      <c r="H49" s="182">
        <f>H48+H47+H46+H45+H44+H43+H42</f>
        <v>301235</v>
      </c>
      <c r="I49" s="182">
        <f>I48+I47+I46+I45+I44+I43+I42</f>
        <v>304235</v>
      </c>
    </row>
    <row r="50" spans="5:9" ht="15.75" thickBot="1" x14ac:dyDescent="0.3">
      <c r="E50" s="28" t="s">
        <v>93</v>
      </c>
      <c r="F50" s="183">
        <f>IF(F49-F34=0,0,"Error")</f>
        <v>0</v>
      </c>
      <c r="G50" s="183">
        <f>IF(G49-G34=0,0,"Error")</f>
        <v>0</v>
      </c>
      <c r="H50" s="183">
        <f>IF(H49-H34=0,0,"Error")</f>
        <v>0</v>
      </c>
      <c r="I50" s="183">
        <f>IF(I49-I34=0,0,"Error")</f>
        <v>0</v>
      </c>
    </row>
    <row r="51" spans="5:9" ht="15.75" thickBot="1" x14ac:dyDescent="0.3">
      <c r="E51" s="178" t="s">
        <v>94</v>
      </c>
      <c r="F51" s="344" t="s">
        <v>529</v>
      </c>
      <c r="G51" s="345"/>
      <c r="H51" s="345"/>
      <c r="I51" s="346"/>
    </row>
    <row r="52" spans="5:9" ht="15.75" thickBot="1" x14ac:dyDescent="0.3">
      <c r="E52" s="19" t="s">
        <v>73</v>
      </c>
      <c r="F52" s="467" t="s">
        <v>530</v>
      </c>
      <c r="G52" s="468"/>
      <c r="H52" s="468"/>
      <c r="I52" s="469"/>
    </row>
    <row r="53" spans="5:9" ht="15.75" thickBot="1" x14ac:dyDescent="0.3">
      <c r="E53" s="19" t="s">
        <v>75</v>
      </c>
      <c r="F53" s="347" t="s">
        <v>531</v>
      </c>
      <c r="G53" s="348"/>
      <c r="H53" s="348"/>
      <c r="I53" s="349"/>
    </row>
    <row r="54" spans="5:9" ht="15.75" thickBot="1" x14ac:dyDescent="0.3">
      <c r="E54" s="19" t="s">
        <v>77</v>
      </c>
      <c r="F54" s="184">
        <v>6020</v>
      </c>
      <c r="G54" s="184">
        <v>8000</v>
      </c>
      <c r="H54" s="184">
        <v>8000</v>
      </c>
      <c r="I54" s="184">
        <v>8000</v>
      </c>
    </row>
    <row r="55" spans="5:9" x14ac:dyDescent="0.25">
      <c r="E55" s="350"/>
      <c r="F55" s="20">
        <v>2018</v>
      </c>
      <c r="G55" s="20">
        <v>2019</v>
      </c>
      <c r="H55" s="20">
        <v>2020</v>
      </c>
      <c r="I55" s="20">
        <v>2021</v>
      </c>
    </row>
    <row r="56" spans="5:9" ht="15.75" thickBot="1" x14ac:dyDescent="0.3">
      <c r="E56" s="351"/>
      <c r="F56" s="21" t="s">
        <v>42</v>
      </c>
      <c r="G56" s="21" t="s">
        <v>43</v>
      </c>
      <c r="H56" s="21" t="s">
        <v>43</v>
      </c>
      <c r="I56" s="21" t="s">
        <v>43</v>
      </c>
    </row>
    <row r="57" spans="5:9" ht="15.75" thickBot="1" x14ac:dyDescent="0.3">
      <c r="E57" s="19" t="s">
        <v>78</v>
      </c>
      <c r="F57" s="22">
        <v>490000</v>
      </c>
      <c r="G57" s="22">
        <v>1000000</v>
      </c>
      <c r="H57" s="22">
        <v>1000000</v>
      </c>
      <c r="I57" s="22">
        <v>1100000</v>
      </c>
    </row>
    <row r="58" spans="5:9" ht="15.75" thickBot="1" x14ac:dyDescent="0.3">
      <c r="E58" s="19" t="s">
        <v>79</v>
      </c>
      <c r="F58" s="22">
        <v>81.395348837209298</v>
      </c>
      <c r="G58" s="22">
        <v>125</v>
      </c>
      <c r="H58" s="22">
        <v>125</v>
      </c>
      <c r="I58" s="22">
        <v>137.5</v>
      </c>
    </row>
    <row r="59" spans="5:9" ht="15.75" thickBot="1" x14ac:dyDescent="0.3">
      <c r="E59" s="19" t="s">
        <v>80</v>
      </c>
      <c r="F59" s="23"/>
      <c r="G59" s="13">
        <v>0.32890365448504988</v>
      </c>
      <c r="H59" s="13">
        <v>0</v>
      </c>
      <c r="I59" s="13">
        <v>0</v>
      </c>
    </row>
    <row r="60" spans="5:9" ht="15.75" thickBot="1" x14ac:dyDescent="0.3">
      <c r="E60" s="19" t="s">
        <v>82</v>
      </c>
      <c r="F60" s="23"/>
      <c r="G60" s="13">
        <v>1.0408163265306123</v>
      </c>
      <c r="H60" s="13">
        <v>0</v>
      </c>
      <c r="I60" s="13">
        <v>0.10000000000000009</v>
      </c>
    </row>
    <row r="61" spans="5:9" ht="15.75" thickBot="1" x14ac:dyDescent="0.3">
      <c r="E61" s="19" t="s">
        <v>83</v>
      </c>
      <c r="F61" s="23"/>
      <c r="G61" s="13">
        <v>0.53571428571428581</v>
      </c>
      <c r="H61" s="13">
        <v>0</v>
      </c>
      <c r="I61" s="13">
        <v>0.10000000000000009</v>
      </c>
    </row>
    <row r="62" spans="5:9" ht="15.75" thickBot="1" x14ac:dyDescent="0.3">
      <c r="E62" s="338" t="s">
        <v>366</v>
      </c>
      <c r="F62" s="339"/>
      <c r="G62" s="339"/>
      <c r="H62" s="339"/>
      <c r="I62" s="340"/>
    </row>
    <row r="63" spans="5:9" x14ac:dyDescent="0.25">
      <c r="E63" s="350"/>
      <c r="F63" s="20">
        <v>2018</v>
      </c>
      <c r="G63" s="20">
        <v>2019</v>
      </c>
      <c r="H63" s="20">
        <v>2020</v>
      </c>
      <c r="I63" s="20">
        <v>2021</v>
      </c>
    </row>
    <row r="64" spans="5:9" ht="15.75" thickBot="1" x14ac:dyDescent="0.3">
      <c r="E64" s="351"/>
      <c r="F64" s="21" t="s">
        <v>42</v>
      </c>
      <c r="G64" s="21" t="s">
        <v>43</v>
      </c>
      <c r="H64" s="21" t="s">
        <v>43</v>
      </c>
      <c r="I64" s="21" t="s">
        <v>43</v>
      </c>
    </row>
    <row r="65" spans="5:9" ht="15.75" thickBot="1" x14ac:dyDescent="0.3">
      <c r="E65" s="24" t="s">
        <v>85</v>
      </c>
      <c r="F65" s="25"/>
      <c r="G65" s="25"/>
      <c r="H65" s="25"/>
      <c r="I65" s="25"/>
    </row>
    <row r="66" spans="5:9" ht="15.75" thickBot="1" x14ac:dyDescent="0.3">
      <c r="E66" s="24" t="s">
        <v>86</v>
      </c>
      <c r="F66" s="25"/>
      <c r="G66" s="25"/>
      <c r="H66" s="25"/>
      <c r="I66" s="25"/>
    </row>
    <row r="67" spans="5:9" ht="15.75" thickBot="1" x14ac:dyDescent="0.3">
      <c r="E67" s="24" t="s">
        <v>87</v>
      </c>
      <c r="F67" s="26"/>
      <c r="G67" s="25"/>
      <c r="H67" s="25"/>
      <c r="I67" s="25"/>
    </row>
    <row r="68" spans="5:9" ht="15.75" thickBot="1" x14ac:dyDescent="0.3">
      <c r="E68" s="24" t="s">
        <v>88</v>
      </c>
      <c r="F68" s="26">
        <v>490000</v>
      </c>
      <c r="G68" s="25">
        <v>1000000</v>
      </c>
      <c r="H68" s="25">
        <v>1000000</v>
      </c>
      <c r="I68" s="25">
        <v>1100000</v>
      </c>
    </row>
    <row r="69" spans="5:9" ht="15.75" thickBot="1" x14ac:dyDescent="0.3">
      <c r="E69" s="24" t="s">
        <v>89</v>
      </c>
      <c r="F69" s="26"/>
      <c r="G69" s="25"/>
      <c r="H69" s="25"/>
      <c r="I69" s="25"/>
    </row>
    <row r="70" spans="5:9" ht="15.75" thickBot="1" x14ac:dyDescent="0.3">
      <c r="E70" s="24" t="s">
        <v>90</v>
      </c>
      <c r="F70" s="26"/>
      <c r="G70" s="25"/>
      <c r="H70" s="25"/>
      <c r="I70" s="25"/>
    </row>
    <row r="71" spans="5:9" ht="15.75" thickBot="1" x14ac:dyDescent="0.3">
      <c r="E71" s="24" t="s">
        <v>91</v>
      </c>
      <c r="F71" s="26"/>
      <c r="G71" s="25"/>
      <c r="H71" s="25"/>
      <c r="I71" s="25"/>
    </row>
    <row r="72" spans="5:9" ht="15.75" thickBot="1" x14ac:dyDescent="0.3">
      <c r="E72" s="175" t="s">
        <v>99</v>
      </c>
      <c r="F72" s="26">
        <v>490000</v>
      </c>
      <c r="G72" s="26">
        <v>1000000</v>
      </c>
      <c r="H72" s="26">
        <v>1000000</v>
      </c>
      <c r="I72" s="26">
        <v>1100000</v>
      </c>
    </row>
    <row r="73" spans="5:9" ht="15.75" thickBot="1" x14ac:dyDescent="0.3">
      <c r="E73" s="28" t="s">
        <v>93</v>
      </c>
      <c r="F73" s="29">
        <v>0</v>
      </c>
      <c r="G73" s="29">
        <v>0</v>
      </c>
      <c r="H73" s="29">
        <v>0</v>
      </c>
      <c r="I73" s="29">
        <v>0</v>
      </c>
    </row>
    <row r="74" spans="5:9" ht="15.75" thickBot="1" x14ac:dyDescent="0.3">
      <c r="E74" s="341"/>
      <c r="F74" s="342"/>
      <c r="G74" s="342"/>
      <c r="H74" s="342"/>
      <c r="I74" s="343"/>
    </row>
    <row r="75" spans="5:9" ht="15.75" thickBot="1" x14ac:dyDescent="0.3">
      <c r="E75" s="341"/>
      <c r="F75" s="342"/>
      <c r="G75" s="342"/>
      <c r="H75" s="342"/>
      <c r="I75" s="343"/>
    </row>
    <row r="76" spans="5:9" ht="15.75" thickBot="1" x14ac:dyDescent="0.3">
      <c r="E76" s="30"/>
      <c r="F76" s="352"/>
      <c r="G76" s="353"/>
      <c r="H76" s="353"/>
      <c r="I76" s="354"/>
    </row>
    <row r="77" spans="5:9" ht="15.75" thickBot="1" x14ac:dyDescent="0.3">
      <c r="E77" s="18" t="s">
        <v>100</v>
      </c>
      <c r="F77" s="344" t="s">
        <v>532</v>
      </c>
      <c r="G77" s="345"/>
      <c r="H77" s="345"/>
      <c r="I77" s="346"/>
    </row>
    <row r="78" spans="5:9" ht="15.75" thickBot="1" x14ac:dyDescent="0.3">
      <c r="E78" s="19" t="s">
        <v>73</v>
      </c>
      <c r="F78" s="467" t="s">
        <v>533</v>
      </c>
      <c r="G78" s="468"/>
      <c r="H78" s="468"/>
      <c r="I78" s="469"/>
    </row>
    <row r="79" spans="5:9" ht="15.75" thickBot="1" x14ac:dyDescent="0.3">
      <c r="E79" s="19" t="s">
        <v>75</v>
      </c>
      <c r="F79" s="347" t="s">
        <v>534</v>
      </c>
      <c r="G79" s="348"/>
      <c r="H79" s="348"/>
      <c r="I79" s="349"/>
    </row>
    <row r="80" spans="5:9" x14ac:dyDescent="0.25">
      <c r="E80" s="350"/>
      <c r="F80" s="20">
        <v>2018</v>
      </c>
      <c r="G80" s="20">
        <v>2019</v>
      </c>
      <c r="H80" s="20">
        <v>2020</v>
      </c>
      <c r="I80" s="20">
        <v>2021</v>
      </c>
    </row>
    <row r="81" spans="5:9" ht="15.75" thickBot="1" x14ac:dyDescent="0.3">
      <c r="E81" s="351"/>
      <c r="F81" s="21" t="s">
        <v>42</v>
      </c>
      <c r="G81" s="21" t="s">
        <v>43</v>
      </c>
      <c r="H81" s="21" t="s">
        <v>43</v>
      </c>
      <c r="I81" s="21" t="s">
        <v>43</v>
      </c>
    </row>
    <row r="82" spans="5:9" ht="15.75" thickBot="1" x14ac:dyDescent="0.3">
      <c r="E82" s="19" t="s">
        <v>77</v>
      </c>
      <c r="F82" s="22">
        <v>10000</v>
      </c>
      <c r="G82" s="22">
        <v>11500</v>
      </c>
      <c r="H82" s="22">
        <v>12000</v>
      </c>
      <c r="I82" s="22">
        <v>12500</v>
      </c>
    </row>
    <row r="83" spans="5:9" ht="15.75" thickBot="1" x14ac:dyDescent="0.3">
      <c r="E83" s="19" t="s">
        <v>78</v>
      </c>
      <c r="F83" s="22">
        <v>264257</v>
      </c>
      <c r="G83" s="22">
        <v>288402</v>
      </c>
      <c r="H83" s="22">
        <v>297070</v>
      </c>
      <c r="I83" s="22">
        <v>300070</v>
      </c>
    </row>
    <row r="84" spans="5:9" ht="15.75" thickBot="1" x14ac:dyDescent="0.3">
      <c r="E84" s="19" t="s">
        <v>79</v>
      </c>
      <c r="F84" s="22">
        <v>26.425699999999999</v>
      </c>
      <c r="G84" s="22">
        <v>25.078434782608696</v>
      </c>
      <c r="H84" s="22">
        <v>24.755833333333332</v>
      </c>
      <c r="I84" s="22">
        <v>24.005600000000001</v>
      </c>
    </row>
    <row r="85" spans="5:9" ht="15.75" thickBot="1" x14ac:dyDescent="0.3">
      <c r="E85" s="19" t="s">
        <v>80</v>
      </c>
      <c r="F85" s="23"/>
      <c r="G85" s="13">
        <v>0.14999999999999991</v>
      </c>
      <c r="H85" s="13">
        <v>4.3478260869565188E-2</v>
      </c>
      <c r="I85" s="13">
        <v>4.1666666666666741E-2</v>
      </c>
    </row>
    <row r="86" spans="5:9" ht="15.75" thickBot="1" x14ac:dyDescent="0.3">
      <c r="E86" s="19" t="s">
        <v>82</v>
      </c>
      <c r="F86" s="23"/>
      <c r="G86" s="13">
        <v>9.1369386619843507E-2</v>
      </c>
      <c r="H86" s="13">
        <v>3.0055270074410112E-2</v>
      </c>
      <c r="I86" s="13">
        <v>1.009862995253652E-2</v>
      </c>
    </row>
    <row r="87" spans="5:9" ht="15.75" thickBot="1" x14ac:dyDescent="0.3">
      <c r="E87" s="19" t="s">
        <v>83</v>
      </c>
      <c r="F87" s="23"/>
      <c r="G87" s="13">
        <v>-5.0983142069701226E-2</v>
      </c>
      <c r="H87" s="13">
        <v>-1.2863699512023818E-2</v>
      </c>
      <c r="I87" s="13">
        <v>-3.0305315245564901E-2</v>
      </c>
    </row>
    <row r="88" spans="5:9" ht="15.75" thickBot="1" x14ac:dyDescent="0.3">
      <c r="E88" s="338" t="s">
        <v>84</v>
      </c>
      <c r="F88" s="339"/>
      <c r="G88" s="339"/>
      <c r="H88" s="339"/>
      <c r="I88" s="340"/>
    </row>
    <row r="89" spans="5:9" x14ac:dyDescent="0.25">
      <c r="E89" s="350"/>
      <c r="F89" s="20">
        <v>2018</v>
      </c>
      <c r="G89" s="20">
        <v>2019</v>
      </c>
      <c r="H89" s="20">
        <v>2020</v>
      </c>
      <c r="I89" s="20">
        <v>2021</v>
      </c>
    </row>
    <row r="90" spans="5:9" ht="15.75" thickBot="1" x14ac:dyDescent="0.3">
      <c r="E90" s="351"/>
      <c r="F90" s="21" t="s">
        <v>42</v>
      </c>
      <c r="G90" s="21" t="s">
        <v>43</v>
      </c>
      <c r="H90" s="21" t="s">
        <v>43</v>
      </c>
      <c r="I90" s="21" t="s">
        <v>43</v>
      </c>
    </row>
    <row r="91" spans="5:9" ht="15.75" thickBot="1" x14ac:dyDescent="0.3">
      <c r="E91" s="185" t="s">
        <v>85</v>
      </c>
      <c r="F91" s="181">
        <v>186630</v>
      </c>
      <c r="G91" s="181">
        <v>206000</v>
      </c>
      <c r="H91" s="181">
        <v>210000</v>
      </c>
      <c r="I91" s="181">
        <v>210000</v>
      </c>
    </row>
    <row r="92" spans="5:9" ht="15.75" thickBot="1" x14ac:dyDescent="0.3">
      <c r="E92" s="185" t="s">
        <v>86</v>
      </c>
      <c r="F92" s="181">
        <v>33227</v>
      </c>
      <c r="G92" s="181">
        <v>34402</v>
      </c>
      <c r="H92" s="181">
        <v>35070</v>
      </c>
      <c r="I92" s="181">
        <v>35070</v>
      </c>
    </row>
    <row r="93" spans="5:9" ht="15.75" thickBot="1" x14ac:dyDescent="0.3">
      <c r="E93" s="185" t="s">
        <v>87</v>
      </c>
      <c r="F93" s="182">
        <v>44400</v>
      </c>
      <c r="G93" s="181">
        <v>48000</v>
      </c>
      <c r="H93" s="181">
        <v>52000</v>
      </c>
      <c r="I93" s="181">
        <v>55000</v>
      </c>
    </row>
    <row r="94" spans="5:9" ht="15.75" thickBot="1" x14ac:dyDescent="0.3">
      <c r="E94" s="185" t="s">
        <v>88</v>
      </c>
      <c r="F94" s="182"/>
      <c r="G94" s="181"/>
      <c r="H94" s="181"/>
      <c r="I94" s="181"/>
    </row>
    <row r="95" spans="5:9" ht="15.75" thickBot="1" x14ac:dyDescent="0.3">
      <c r="E95" s="185" t="s">
        <v>89</v>
      </c>
      <c r="F95" s="182"/>
      <c r="G95" s="181"/>
      <c r="H95" s="181"/>
      <c r="I95" s="181"/>
    </row>
    <row r="96" spans="5:9" ht="15.75" thickBot="1" x14ac:dyDescent="0.3">
      <c r="E96" s="185" t="s">
        <v>90</v>
      </c>
      <c r="F96" s="182"/>
      <c r="G96" s="181"/>
      <c r="H96" s="181"/>
      <c r="I96" s="181"/>
    </row>
    <row r="97" spans="5:9" ht="15.75" thickBot="1" x14ac:dyDescent="0.3">
      <c r="E97" s="185" t="s">
        <v>91</v>
      </c>
      <c r="F97" s="182"/>
      <c r="G97" s="181"/>
      <c r="H97" s="181"/>
      <c r="I97" s="181"/>
    </row>
    <row r="98" spans="5:9" ht="15.75" thickBot="1" x14ac:dyDescent="0.3">
      <c r="E98" s="186" t="s">
        <v>104</v>
      </c>
      <c r="F98" s="182">
        <f>F97+F96+F95+F94+F93+F92+F91</f>
        <v>264257</v>
      </c>
      <c r="G98" s="182">
        <f>G97+G96+G95+G94+G93+G92+G91</f>
        <v>288402</v>
      </c>
      <c r="H98" s="182">
        <f>H97+H96+H95+H94+H93+H92+H91</f>
        <v>297070</v>
      </c>
      <c r="I98" s="182">
        <f>I97+I96+I95+I94+I93+I92+I91</f>
        <v>300070</v>
      </c>
    </row>
    <row r="99" spans="5:9" x14ac:dyDescent="0.25">
      <c r="E99" s="355"/>
      <c r="F99" s="358"/>
      <c r="G99" s="359"/>
      <c r="H99" s="359"/>
      <c r="I99" s="360"/>
    </row>
    <row r="100" spans="5:9" x14ac:dyDescent="0.25">
      <c r="E100" s="356"/>
      <c r="F100" s="361"/>
      <c r="G100" s="362"/>
      <c r="H100" s="362"/>
      <c r="I100" s="363"/>
    </row>
    <row r="101" spans="5:9" ht="15.75" thickBot="1" x14ac:dyDescent="0.3">
      <c r="E101" s="357"/>
      <c r="F101" s="364"/>
      <c r="G101" s="365"/>
      <c r="H101" s="365"/>
      <c r="I101" s="366"/>
    </row>
    <row r="102" spans="5:9" ht="15.75" thickBot="1" x14ac:dyDescent="0.3">
      <c r="E102" s="30"/>
      <c r="F102" s="352"/>
      <c r="G102" s="353"/>
      <c r="H102" s="353"/>
      <c r="I102" s="354"/>
    </row>
    <row r="103" spans="5:9" ht="15.75" thickBot="1" x14ac:dyDescent="0.3">
      <c r="E103" s="18" t="s">
        <v>116</v>
      </c>
      <c r="F103" s="344" t="s">
        <v>535</v>
      </c>
      <c r="G103" s="345"/>
      <c r="H103" s="345"/>
      <c r="I103" s="346"/>
    </row>
    <row r="104" spans="5:9" ht="29.25" customHeight="1" thickBot="1" x14ac:dyDescent="0.3">
      <c r="E104" s="19" t="s">
        <v>73</v>
      </c>
      <c r="F104" s="552" t="s">
        <v>536</v>
      </c>
      <c r="G104" s="553"/>
      <c r="H104" s="553"/>
      <c r="I104" s="554"/>
    </row>
    <row r="105" spans="5:9" ht="15.75" thickBot="1" x14ac:dyDescent="0.3">
      <c r="E105" s="19" t="s">
        <v>75</v>
      </c>
      <c r="F105" s="347" t="s">
        <v>537</v>
      </c>
      <c r="G105" s="348"/>
      <c r="H105" s="348"/>
      <c r="I105" s="349"/>
    </row>
    <row r="106" spans="5:9" x14ac:dyDescent="0.25">
      <c r="E106" s="350"/>
      <c r="F106" s="20">
        <v>2018</v>
      </c>
      <c r="G106" s="20">
        <v>2019</v>
      </c>
      <c r="H106" s="20">
        <v>2020</v>
      </c>
      <c r="I106" s="20">
        <v>2021</v>
      </c>
    </row>
    <row r="107" spans="5:9" ht="15.75" thickBot="1" x14ac:dyDescent="0.3">
      <c r="E107" s="351"/>
      <c r="F107" s="21" t="s">
        <v>42</v>
      </c>
      <c r="G107" s="21" t="s">
        <v>43</v>
      </c>
      <c r="H107" s="21" t="s">
        <v>43</v>
      </c>
      <c r="I107" s="21" t="s">
        <v>43</v>
      </c>
    </row>
    <row r="108" spans="5:9" ht="15.75" thickBot="1" x14ac:dyDescent="0.3">
      <c r="E108" s="19" t="s">
        <v>77</v>
      </c>
      <c r="F108" s="22">
        <v>5500</v>
      </c>
      <c r="G108" s="22">
        <v>4000</v>
      </c>
      <c r="H108" s="22">
        <v>4600</v>
      </c>
      <c r="I108" s="22">
        <v>4900</v>
      </c>
    </row>
    <row r="109" spans="5:9" ht="15.75" thickBot="1" x14ac:dyDescent="0.3">
      <c r="E109" s="19" t="s">
        <v>78</v>
      </c>
      <c r="F109" s="22">
        <v>800000</v>
      </c>
      <c r="G109" s="22">
        <v>600000</v>
      </c>
      <c r="H109" s="22">
        <v>700000</v>
      </c>
      <c r="I109" s="22">
        <v>750000</v>
      </c>
    </row>
    <row r="110" spans="5:9" ht="15.75" thickBot="1" x14ac:dyDescent="0.3">
      <c r="E110" s="19" t="s">
        <v>79</v>
      </c>
      <c r="F110" s="22">
        <v>145.45454545454547</v>
      </c>
      <c r="G110" s="22">
        <v>150</v>
      </c>
      <c r="H110" s="22">
        <v>152.17391304347825</v>
      </c>
      <c r="I110" s="22">
        <v>153.0612244897959</v>
      </c>
    </row>
    <row r="111" spans="5:9" ht="15.75" thickBot="1" x14ac:dyDescent="0.3">
      <c r="E111" s="19" t="s">
        <v>80</v>
      </c>
      <c r="F111" s="23" t="s">
        <v>81</v>
      </c>
      <c r="G111" s="13">
        <v>-0.27272727272727271</v>
      </c>
      <c r="H111" s="13">
        <v>0.14999999999999991</v>
      </c>
      <c r="I111" s="13">
        <v>6.5217391304347894E-2</v>
      </c>
    </row>
    <row r="112" spans="5:9" ht="15.75" thickBot="1" x14ac:dyDescent="0.3">
      <c r="E112" s="19" t="s">
        <v>82</v>
      </c>
      <c r="F112" s="23" t="s">
        <v>81</v>
      </c>
      <c r="G112" s="13">
        <v>-0.25</v>
      </c>
      <c r="H112" s="13">
        <v>0.16666666666666674</v>
      </c>
      <c r="I112" s="13">
        <v>7.1428571428571397E-2</v>
      </c>
    </row>
    <row r="113" spans="5:9" ht="15.75" thickBot="1" x14ac:dyDescent="0.3">
      <c r="E113" s="19" t="s">
        <v>83</v>
      </c>
      <c r="F113" s="23" t="s">
        <v>81</v>
      </c>
      <c r="G113" s="13">
        <v>3.125E-2</v>
      </c>
      <c r="H113" s="13">
        <v>1.4492753623188248E-2</v>
      </c>
      <c r="I113" s="13">
        <v>5.8309037900874383E-3</v>
      </c>
    </row>
    <row r="114" spans="5:9" ht="15.75" thickBot="1" x14ac:dyDescent="0.3">
      <c r="E114" s="338" t="s">
        <v>120</v>
      </c>
      <c r="F114" s="339"/>
      <c r="G114" s="339"/>
      <c r="H114" s="339"/>
      <c r="I114" s="340"/>
    </row>
    <row r="115" spans="5:9" x14ac:dyDescent="0.25">
      <c r="E115" s="350"/>
      <c r="F115" s="20">
        <v>2018</v>
      </c>
      <c r="G115" s="20">
        <v>2019</v>
      </c>
      <c r="H115" s="20">
        <v>2020</v>
      </c>
      <c r="I115" s="20">
        <v>2021</v>
      </c>
    </row>
    <row r="116" spans="5:9" ht="15.75" thickBot="1" x14ac:dyDescent="0.3">
      <c r="E116" s="351"/>
      <c r="F116" s="21" t="s">
        <v>42</v>
      </c>
      <c r="G116" s="21" t="s">
        <v>43</v>
      </c>
      <c r="H116" s="21" t="s">
        <v>43</v>
      </c>
      <c r="I116" s="21" t="s">
        <v>43</v>
      </c>
    </row>
    <row r="117" spans="5:9" ht="15.75" thickBot="1" x14ac:dyDescent="0.3">
      <c r="E117" s="24" t="s">
        <v>85</v>
      </c>
      <c r="F117" s="25"/>
      <c r="G117" s="25"/>
      <c r="H117" s="25"/>
      <c r="I117" s="25"/>
    </row>
    <row r="118" spans="5:9" ht="15.75" thickBot="1" x14ac:dyDescent="0.3">
      <c r="E118" s="24" t="s">
        <v>86</v>
      </c>
      <c r="F118" s="25"/>
      <c r="G118" s="25"/>
      <c r="H118" s="25"/>
      <c r="I118" s="25"/>
    </row>
    <row r="119" spans="5:9" ht="15.75" thickBot="1" x14ac:dyDescent="0.3">
      <c r="E119" s="24" t="s">
        <v>87</v>
      </c>
      <c r="F119" s="25"/>
      <c r="G119" s="25"/>
      <c r="H119" s="25"/>
      <c r="I119" s="25"/>
    </row>
    <row r="120" spans="5:9" ht="15.75" thickBot="1" x14ac:dyDescent="0.3">
      <c r="E120" s="24" t="s">
        <v>88</v>
      </c>
      <c r="F120" s="25"/>
      <c r="G120" s="25"/>
      <c r="H120" s="25"/>
      <c r="I120" s="25"/>
    </row>
    <row r="121" spans="5:9" ht="15.75" thickBot="1" x14ac:dyDescent="0.3">
      <c r="E121" s="24" t="s">
        <v>89</v>
      </c>
      <c r="F121" s="25"/>
      <c r="G121" s="25"/>
      <c r="H121" s="25"/>
      <c r="I121" s="25"/>
    </row>
    <row r="122" spans="5:9" ht="15.75" thickBot="1" x14ac:dyDescent="0.3">
      <c r="E122" s="24" t="s">
        <v>90</v>
      </c>
      <c r="F122" s="25"/>
      <c r="G122" s="25"/>
      <c r="H122" s="25"/>
      <c r="I122" s="25"/>
    </row>
    <row r="123" spans="5:9" ht="15.75" thickBot="1" x14ac:dyDescent="0.3">
      <c r="E123" s="24" t="s">
        <v>91</v>
      </c>
      <c r="F123" s="25">
        <v>800000</v>
      </c>
      <c r="G123" s="25">
        <v>600000</v>
      </c>
      <c r="H123" s="25">
        <v>700000</v>
      </c>
      <c r="I123" s="25">
        <v>750000</v>
      </c>
    </row>
    <row r="124" spans="5:9" ht="15.75" thickBot="1" x14ac:dyDescent="0.3">
      <c r="E124" s="24" t="s">
        <v>265</v>
      </c>
      <c r="F124" s="26">
        <v>800000</v>
      </c>
      <c r="G124" s="25">
        <v>600000</v>
      </c>
      <c r="H124" s="25">
        <v>700000</v>
      </c>
      <c r="I124" s="25">
        <v>750000</v>
      </c>
    </row>
    <row r="125" spans="5:9" ht="15.75" thickBot="1" x14ac:dyDescent="0.3">
      <c r="E125" s="27" t="s">
        <v>93</v>
      </c>
      <c r="F125" s="26">
        <v>0</v>
      </c>
      <c r="G125" s="26">
        <v>0</v>
      </c>
      <c r="H125" s="26">
        <v>0</v>
      </c>
      <c r="I125" s="26">
        <v>0</v>
      </c>
    </row>
    <row r="126" spans="5:9" ht="15.75" thickBot="1" x14ac:dyDescent="0.3">
      <c r="E126" s="30"/>
      <c r="F126" s="352"/>
      <c r="G126" s="353"/>
      <c r="H126" s="353"/>
      <c r="I126" s="354"/>
    </row>
    <row r="127" spans="5:9" ht="15.75" thickBot="1" x14ac:dyDescent="0.3">
      <c r="E127" s="18" t="s">
        <v>267</v>
      </c>
      <c r="F127" s="344" t="s">
        <v>538</v>
      </c>
      <c r="G127" s="345"/>
      <c r="H127" s="345"/>
      <c r="I127" s="346"/>
    </row>
    <row r="128" spans="5:9" ht="27" customHeight="1" thickBot="1" x14ac:dyDescent="0.3">
      <c r="E128" s="19" t="s">
        <v>73</v>
      </c>
      <c r="F128" s="467" t="s">
        <v>539</v>
      </c>
      <c r="G128" s="468"/>
      <c r="H128" s="468"/>
      <c r="I128" s="469"/>
    </row>
    <row r="129" spans="5:9" ht="15.75" thickBot="1" x14ac:dyDescent="0.3">
      <c r="E129" s="19" t="s">
        <v>75</v>
      </c>
      <c r="F129" s="347" t="s">
        <v>540</v>
      </c>
      <c r="G129" s="348"/>
      <c r="H129" s="348"/>
      <c r="I129" s="349"/>
    </row>
    <row r="130" spans="5:9" x14ac:dyDescent="0.25">
      <c r="E130" s="350"/>
      <c r="F130" s="20">
        <v>2018</v>
      </c>
      <c r="G130" s="20">
        <v>2019</v>
      </c>
      <c r="H130" s="20">
        <v>2020</v>
      </c>
      <c r="I130" s="20">
        <v>2021</v>
      </c>
    </row>
    <row r="131" spans="5:9" ht="15.75" thickBot="1" x14ac:dyDescent="0.3">
      <c r="E131" s="351"/>
      <c r="F131" s="21" t="s">
        <v>42</v>
      </c>
      <c r="G131" s="21" t="s">
        <v>43</v>
      </c>
      <c r="H131" s="21" t="s">
        <v>43</v>
      </c>
      <c r="I131" s="21" t="s">
        <v>43</v>
      </c>
    </row>
    <row r="132" spans="5:9" ht="15.75" thickBot="1" x14ac:dyDescent="0.3">
      <c r="E132" s="19" t="s">
        <v>77</v>
      </c>
      <c r="F132" s="22">
        <v>1417</v>
      </c>
      <c r="G132" s="22">
        <v>1500</v>
      </c>
      <c r="H132" s="22">
        <v>1500</v>
      </c>
      <c r="I132" s="22">
        <v>1550</v>
      </c>
    </row>
    <row r="133" spans="5:9" ht="15.75" thickBot="1" x14ac:dyDescent="0.3">
      <c r="E133" s="19" t="s">
        <v>78</v>
      </c>
      <c r="F133" s="22">
        <v>6244</v>
      </c>
      <c r="G133" s="22">
        <v>6270</v>
      </c>
      <c r="H133" s="22">
        <v>6525</v>
      </c>
      <c r="I133" s="22">
        <v>6825</v>
      </c>
    </row>
    <row r="134" spans="5:9" ht="15.75" thickBot="1" x14ac:dyDescent="0.3">
      <c r="E134" s="19" t="s">
        <v>79</v>
      </c>
      <c r="F134" s="22">
        <v>4.4064925899788285</v>
      </c>
      <c r="G134" s="22">
        <v>4.18</v>
      </c>
      <c r="H134" s="22">
        <v>4.3499999999999996</v>
      </c>
      <c r="I134" s="22">
        <v>4.403225806451613</v>
      </c>
    </row>
    <row r="135" spans="5:9" ht="15.75" thickBot="1" x14ac:dyDescent="0.3">
      <c r="E135" s="19" t="s">
        <v>80</v>
      </c>
      <c r="F135" s="23" t="s">
        <v>81</v>
      </c>
      <c r="G135" s="13">
        <v>5.8574453069865973E-2</v>
      </c>
      <c r="H135" s="13">
        <v>0</v>
      </c>
      <c r="I135" s="13">
        <v>3.3333333333333437E-2</v>
      </c>
    </row>
    <row r="136" spans="5:9" ht="15.75" thickBot="1" x14ac:dyDescent="0.3">
      <c r="E136" s="19" t="s">
        <v>82</v>
      </c>
      <c r="F136" s="23" t="s">
        <v>81</v>
      </c>
      <c r="G136" s="13">
        <v>4.1639974375400346E-3</v>
      </c>
      <c r="H136" s="13">
        <v>4.0669856459330189E-2</v>
      </c>
      <c r="I136" s="13">
        <v>4.5977011494252817E-2</v>
      </c>
    </row>
    <row r="137" spans="5:9" ht="15.75" thickBot="1" x14ac:dyDescent="0.3">
      <c r="E137" s="19" t="s">
        <v>83</v>
      </c>
      <c r="F137" s="23" t="s">
        <v>81</v>
      </c>
      <c r="G137" s="13">
        <v>-5.1399743754003913E-2</v>
      </c>
      <c r="H137" s="13">
        <v>4.0669856459330189E-2</v>
      </c>
      <c r="I137" s="13">
        <v>1.223581757508363E-2</v>
      </c>
    </row>
    <row r="138" spans="5:9" ht="15.75" thickBot="1" x14ac:dyDescent="0.3">
      <c r="E138" s="338" t="s">
        <v>541</v>
      </c>
      <c r="F138" s="339"/>
      <c r="G138" s="339"/>
      <c r="H138" s="339"/>
      <c r="I138" s="340"/>
    </row>
    <row r="139" spans="5:9" x14ac:dyDescent="0.25">
      <c r="E139" s="350"/>
      <c r="F139" s="20">
        <v>2018</v>
      </c>
      <c r="G139" s="20">
        <v>2019</v>
      </c>
      <c r="H139" s="20">
        <v>2020</v>
      </c>
      <c r="I139" s="20">
        <v>2021</v>
      </c>
    </row>
    <row r="140" spans="5:9" ht="15.75" thickBot="1" x14ac:dyDescent="0.3">
      <c r="E140" s="351"/>
      <c r="F140" s="21" t="s">
        <v>42</v>
      </c>
      <c r="G140" s="21" t="s">
        <v>43</v>
      </c>
      <c r="H140" s="21" t="s">
        <v>43</v>
      </c>
      <c r="I140" s="21" t="s">
        <v>43</v>
      </c>
    </row>
    <row r="141" spans="5:9" ht="15.75" thickBot="1" x14ac:dyDescent="0.3">
      <c r="E141" s="24" t="s">
        <v>85</v>
      </c>
      <c r="F141" s="25">
        <v>2780</v>
      </c>
      <c r="G141" s="25">
        <v>2800</v>
      </c>
      <c r="H141" s="25">
        <v>2850</v>
      </c>
      <c r="I141" s="25">
        <v>2850</v>
      </c>
    </row>
    <row r="142" spans="5:9" ht="15.75" thickBot="1" x14ac:dyDescent="0.3">
      <c r="E142" s="24" t="s">
        <v>86</v>
      </c>
      <c r="F142" s="25">
        <v>464</v>
      </c>
      <c r="G142" s="25">
        <v>470</v>
      </c>
      <c r="H142" s="25">
        <v>475</v>
      </c>
      <c r="I142" s="25">
        <v>475</v>
      </c>
    </row>
    <row r="143" spans="5:9" ht="15.75" thickBot="1" x14ac:dyDescent="0.3">
      <c r="E143" s="24" t="s">
        <v>87</v>
      </c>
      <c r="F143" s="25">
        <v>3000</v>
      </c>
      <c r="G143" s="25">
        <v>3000</v>
      </c>
      <c r="H143" s="25">
        <v>3200</v>
      </c>
      <c r="I143" s="25">
        <v>3500</v>
      </c>
    </row>
    <row r="144" spans="5:9" ht="15.75" thickBot="1" x14ac:dyDescent="0.3">
      <c r="E144" s="24" t="s">
        <v>88</v>
      </c>
      <c r="F144" s="25"/>
      <c r="G144" s="25"/>
      <c r="H144" s="25"/>
      <c r="I144" s="25"/>
    </row>
    <row r="145" spans="5:9" ht="15.75" thickBot="1" x14ac:dyDescent="0.3">
      <c r="E145" s="24" t="s">
        <v>89</v>
      </c>
      <c r="F145" s="25"/>
      <c r="G145" s="25"/>
      <c r="H145" s="25"/>
      <c r="I145" s="25"/>
    </row>
    <row r="146" spans="5:9" ht="15.75" thickBot="1" x14ac:dyDescent="0.3">
      <c r="E146" s="24" t="s">
        <v>90</v>
      </c>
      <c r="F146" s="25"/>
      <c r="G146" s="25"/>
      <c r="H146" s="25"/>
      <c r="I146" s="25"/>
    </row>
    <row r="147" spans="5:9" ht="15.75" thickBot="1" x14ac:dyDescent="0.3">
      <c r="E147" s="24" t="s">
        <v>91</v>
      </c>
      <c r="F147" s="25"/>
      <c r="G147" s="25"/>
      <c r="H147" s="25"/>
      <c r="I147" s="25"/>
    </row>
    <row r="148" spans="5:9" ht="15.75" thickBot="1" x14ac:dyDescent="0.3">
      <c r="E148" s="24" t="s">
        <v>270</v>
      </c>
      <c r="F148" s="26">
        <v>6244</v>
      </c>
      <c r="G148" s="25">
        <v>6270</v>
      </c>
      <c r="H148" s="25">
        <v>6525</v>
      </c>
      <c r="I148" s="25">
        <v>6825</v>
      </c>
    </row>
    <row r="149" spans="5:9" ht="15.75" thickBot="1" x14ac:dyDescent="0.3">
      <c r="E149" s="27" t="s">
        <v>93</v>
      </c>
      <c r="F149" s="26">
        <v>0</v>
      </c>
      <c r="G149" s="26">
        <v>0</v>
      </c>
      <c r="H149" s="26">
        <v>0</v>
      </c>
      <c r="I149" s="26">
        <v>0</v>
      </c>
    </row>
    <row r="150" spans="5:9" ht="15.75" thickBot="1" x14ac:dyDescent="0.3">
      <c r="E150" s="176"/>
      <c r="F150" s="352"/>
      <c r="G150" s="353"/>
      <c r="H150" s="353"/>
      <c r="I150" s="354"/>
    </row>
    <row r="151" spans="5:9" ht="15.75" thickBot="1" x14ac:dyDescent="0.3">
      <c r="E151" s="18" t="s">
        <v>272</v>
      </c>
      <c r="F151" s="344" t="s">
        <v>542</v>
      </c>
      <c r="G151" s="345"/>
      <c r="H151" s="345"/>
      <c r="I151" s="346"/>
    </row>
    <row r="152" spans="5:9" ht="22.5" customHeight="1" thickBot="1" x14ac:dyDescent="0.3">
      <c r="E152" s="19" t="s">
        <v>73</v>
      </c>
      <c r="F152" s="552" t="s">
        <v>543</v>
      </c>
      <c r="G152" s="553"/>
      <c r="H152" s="553"/>
      <c r="I152" s="554"/>
    </row>
    <row r="153" spans="5:9" ht="15.75" thickBot="1" x14ac:dyDescent="0.3">
      <c r="E153" s="19" t="s">
        <v>75</v>
      </c>
      <c r="F153" s="555" t="s">
        <v>544</v>
      </c>
      <c r="G153" s="556"/>
      <c r="H153" s="556"/>
      <c r="I153" s="557"/>
    </row>
    <row r="154" spans="5:9" x14ac:dyDescent="0.25">
      <c r="E154" s="350"/>
      <c r="F154" s="20">
        <v>2018</v>
      </c>
      <c r="G154" s="20">
        <v>2019</v>
      </c>
      <c r="H154" s="20">
        <v>2020</v>
      </c>
      <c r="I154" s="20">
        <v>2021</v>
      </c>
    </row>
    <row r="155" spans="5:9" ht="15.75" thickBot="1" x14ac:dyDescent="0.3">
      <c r="E155" s="351"/>
      <c r="F155" s="21" t="s">
        <v>42</v>
      </c>
      <c r="G155" s="21" t="s">
        <v>43</v>
      </c>
      <c r="H155" s="21" t="s">
        <v>43</v>
      </c>
      <c r="I155" s="21" t="s">
        <v>43</v>
      </c>
    </row>
    <row r="156" spans="5:9" ht="15.75" thickBot="1" x14ac:dyDescent="0.3">
      <c r="E156" s="19" t="s">
        <v>77</v>
      </c>
      <c r="F156" s="22">
        <v>100</v>
      </c>
      <c r="G156" s="22">
        <v>100</v>
      </c>
      <c r="H156" s="22">
        <v>100</v>
      </c>
      <c r="I156" s="22">
        <v>100</v>
      </c>
    </row>
    <row r="157" spans="5:9" ht="15.75" thickBot="1" x14ac:dyDescent="0.3">
      <c r="E157" s="19" t="s">
        <v>78</v>
      </c>
      <c r="F157" s="22">
        <v>69034</v>
      </c>
      <c r="G157" s="22">
        <v>78254</v>
      </c>
      <c r="H157" s="22">
        <v>78278</v>
      </c>
      <c r="I157" s="22">
        <v>79300</v>
      </c>
    </row>
    <row r="158" spans="5:9" ht="15.75" thickBot="1" x14ac:dyDescent="0.3">
      <c r="E158" s="19" t="s">
        <v>79</v>
      </c>
      <c r="F158" s="22"/>
      <c r="G158" s="22">
        <v>782.54</v>
      </c>
      <c r="H158" s="22">
        <v>782.78</v>
      </c>
      <c r="I158" s="22">
        <v>793</v>
      </c>
    </row>
    <row r="159" spans="5:9" ht="15.75" thickBot="1" x14ac:dyDescent="0.3">
      <c r="E159" s="19" t="s">
        <v>80</v>
      </c>
      <c r="F159" s="23" t="s">
        <v>81</v>
      </c>
      <c r="G159" s="13">
        <v>0</v>
      </c>
      <c r="H159" s="13">
        <v>0</v>
      </c>
      <c r="I159" s="13">
        <v>0</v>
      </c>
    </row>
    <row r="160" spans="5:9" ht="15.75" thickBot="1" x14ac:dyDescent="0.3">
      <c r="E160" s="19" t="s">
        <v>82</v>
      </c>
      <c r="F160" s="23" t="s">
        <v>81</v>
      </c>
      <c r="G160" s="13">
        <v>0.13355737752411856</v>
      </c>
      <c r="H160" s="13">
        <v>3.0669358754820131E-4</v>
      </c>
      <c r="I160" s="13">
        <v>1.3056031068754859E-2</v>
      </c>
    </row>
    <row r="161" spans="5:9" ht="15.75" thickBot="1" x14ac:dyDescent="0.3">
      <c r="E161" s="19" t="s">
        <v>83</v>
      </c>
      <c r="F161" s="23" t="s">
        <v>81</v>
      </c>
      <c r="G161" s="13" t="e">
        <v>#DIV/0!</v>
      </c>
      <c r="H161" s="13">
        <v>3.0669358754820131E-4</v>
      </c>
      <c r="I161" s="13">
        <v>1.3056031068755081E-2</v>
      </c>
    </row>
    <row r="162" spans="5:9" ht="15.75" thickBot="1" x14ac:dyDescent="0.3">
      <c r="E162" s="338" t="s">
        <v>377</v>
      </c>
      <c r="F162" s="339"/>
      <c r="G162" s="339"/>
      <c r="H162" s="339"/>
      <c r="I162" s="340"/>
    </row>
    <row r="163" spans="5:9" x14ac:dyDescent="0.25">
      <c r="E163" s="350"/>
      <c r="F163" s="20">
        <v>2018</v>
      </c>
      <c r="G163" s="20">
        <v>2019</v>
      </c>
      <c r="H163" s="20">
        <v>2020</v>
      </c>
      <c r="I163" s="20">
        <v>2021</v>
      </c>
    </row>
    <row r="164" spans="5:9" ht="15.75" thickBot="1" x14ac:dyDescent="0.3">
      <c r="E164" s="351"/>
      <c r="F164" s="21" t="s">
        <v>42</v>
      </c>
      <c r="G164" s="21" t="s">
        <v>43</v>
      </c>
      <c r="H164" s="21" t="s">
        <v>43</v>
      </c>
      <c r="I164" s="21" t="s">
        <v>43</v>
      </c>
    </row>
    <row r="165" spans="5:9" ht="15.75" thickBot="1" x14ac:dyDescent="0.3">
      <c r="E165" s="24" t="s">
        <v>85</v>
      </c>
      <c r="F165" s="25">
        <v>29164</v>
      </c>
      <c r="G165" s="25">
        <v>32780</v>
      </c>
      <c r="H165" s="25">
        <v>32800</v>
      </c>
      <c r="I165" s="25">
        <v>32800</v>
      </c>
    </row>
    <row r="166" spans="5:9" ht="15.75" thickBot="1" x14ac:dyDescent="0.3">
      <c r="E166" s="24" t="s">
        <v>86</v>
      </c>
      <c r="F166" s="25">
        <v>4870</v>
      </c>
      <c r="G166" s="25">
        <v>5474</v>
      </c>
      <c r="H166" s="25">
        <v>5478</v>
      </c>
      <c r="I166" s="25">
        <v>5500</v>
      </c>
    </row>
    <row r="167" spans="5:9" ht="15.75" thickBot="1" x14ac:dyDescent="0.3">
      <c r="E167" s="24" t="s">
        <v>87</v>
      </c>
      <c r="F167" s="25">
        <v>35000</v>
      </c>
      <c r="G167" s="25">
        <v>40000</v>
      </c>
      <c r="H167" s="25">
        <v>40000</v>
      </c>
      <c r="I167" s="25">
        <v>41000</v>
      </c>
    </row>
    <row r="168" spans="5:9" ht="15.75" thickBot="1" x14ac:dyDescent="0.3">
      <c r="E168" s="24" t="s">
        <v>88</v>
      </c>
      <c r="F168" s="25"/>
      <c r="G168" s="25"/>
      <c r="H168" s="25"/>
      <c r="I168" s="25"/>
    </row>
    <row r="169" spans="5:9" ht="15.75" thickBot="1" x14ac:dyDescent="0.3">
      <c r="E169" s="24" t="s">
        <v>89</v>
      </c>
      <c r="F169" s="25"/>
      <c r="G169" s="25"/>
      <c r="H169" s="25"/>
      <c r="I169" s="25"/>
    </row>
    <row r="170" spans="5:9" ht="15.75" thickBot="1" x14ac:dyDescent="0.3">
      <c r="E170" s="24" t="s">
        <v>90</v>
      </c>
      <c r="F170" s="25"/>
      <c r="G170" s="25"/>
      <c r="H170" s="25"/>
      <c r="I170" s="25"/>
    </row>
    <row r="171" spans="5:9" ht="15.75" thickBot="1" x14ac:dyDescent="0.3">
      <c r="E171" s="24" t="s">
        <v>91</v>
      </c>
      <c r="F171" s="26"/>
      <c r="G171" s="25"/>
      <c r="H171" s="25"/>
      <c r="I171" s="25"/>
    </row>
    <row r="172" spans="5:9" ht="15.75" thickBot="1" x14ac:dyDescent="0.3">
      <c r="E172" s="27" t="s">
        <v>276</v>
      </c>
      <c r="F172" s="26">
        <v>69034</v>
      </c>
      <c r="G172" s="26">
        <v>78254</v>
      </c>
      <c r="H172" s="26">
        <v>78278</v>
      </c>
      <c r="I172" s="26">
        <v>79300</v>
      </c>
    </row>
    <row r="173" spans="5:9" ht="15.75" customHeight="1" thickBot="1" x14ac:dyDescent="0.3">
      <c r="E173" s="338" t="s">
        <v>377</v>
      </c>
      <c r="F173" s="339"/>
      <c r="G173" s="339"/>
      <c r="H173" s="339"/>
      <c r="I173" s="340"/>
    </row>
    <row r="174" spans="5:9" ht="24.75" thickBot="1" x14ac:dyDescent="0.3">
      <c r="E174" s="51" t="s">
        <v>122</v>
      </c>
      <c r="F174" s="78">
        <f>F157+F133+F109+F83+F57+F34</f>
        <v>1915606</v>
      </c>
      <c r="G174" s="78">
        <f t="shared" ref="G174:I174" si="0">G157+G133+G109+G83+G57+G34</f>
        <v>2265159</v>
      </c>
      <c r="H174" s="78">
        <f t="shared" si="0"/>
        <v>2383108</v>
      </c>
      <c r="I174" s="78">
        <f t="shared" si="0"/>
        <v>2540430</v>
      </c>
    </row>
    <row r="175" spans="5:9" ht="24.75" thickBot="1" x14ac:dyDescent="0.3">
      <c r="E175" s="51" t="s">
        <v>123</v>
      </c>
      <c r="F175" s="78">
        <f>F177+F179+F181+F183+F185+F187+F189+F191+F193</f>
        <v>1915606</v>
      </c>
      <c r="G175" s="78">
        <f>G177+G179+G181+G183+G185+G187+G189+G191+G193</f>
        <v>2265159</v>
      </c>
      <c r="H175" s="78">
        <f>H177+H179+H181+H183+H185+H187+H189+H191+H193</f>
        <v>2383108</v>
      </c>
      <c r="I175" s="78">
        <f>I177+I179+I181+I183+I185+I187+I189+I191+I193</f>
        <v>2540430</v>
      </c>
    </row>
    <row r="176" spans="5:9" ht="24.75" thickBot="1" x14ac:dyDescent="0.3">
      <c r="E176" s="79" t="s">
        <v>124</v>
      </c>
      <c r="F176" s="80"/>
      <c r="G176" s="81">
        <f>G175/F175-1</f>
        <v>0.18247645914660948</v>
      </c>
      <c r="H176" s="81">
        <f>H175/G175-1</f>
        <v>5.2070958374224485E-2</v>
      </c>
      <c r="I176" s="81">
        <f>I175/H175-1</f>
        <v>6.6015472232060057E-2</v>
      </c>
    </row>
    <row r="177" spans="5:9" ht="15.75" thickBot="1" x14ac:dyDescent="0.3">
      <c r="E177" s="24" t="s">
        <v>85</v>
      </c>
      <c r="F177" s="25">
        <f>F165+F141+F117+F91+F65+F42</f>
        <v>417007</v>
      </c>
      <c r="G177" s="25">
        <f t="shared" ref="G177:I177" si="1">G165+G141+G117+G91+G65+G42</f>
        <v>440580</v>
      </c>
      <c r="H177" s="25">
        <f t="shared" si="1"/>
        <v>450650</v>
      </c>
      <c r="I177" s="25">
        <f t="shared" si="1"/>
        <v>450650</v>
      </c>
    </row>
    <row r="178" spans="5:9" ht="15.75" thickBot="1" x14ac:dyDescent="0.3">
      <c r="E178" s="82" t="s">
        <v>125</v>
      </c>
      <c r="F178" s="26"/>
      <c r="G178" s="83">
        <f>G177/F177-1</f>
        <v>5.6529027090672423E-2</v>
      </c>
      <c r="H178" s="83">
        <f>H177/G177-1</f>
        <v>2.2856234963003264E-2</v>
      </c>
      <c r="I178" s="83">
        <f>I177/H177-1</f>
        <v>0</v>
      </c>
    </row>
    <row r="179" spans="5:9" ht="15.75" thickBot="1" x14ac:dyDescent="0.3">
      <c r="E179" s="24" t="s">
        <v>86</v>
      </c>
      <c r="F179" s="25">
        <f>F166+F142+F118+F92+F66+F43</f>
        <v>71699</v>
      </c>
      <c r="G179" s="25">
        <f t="shared" ref="G179:I179" si="2">G166+G142+G118+G92+G66+G43</f>
        <v>73579</v>
      </c>
      <c r="H179" s="25">
        <f t="shared" si="2"/>
        <v>75258</v>
      </c>
      <c r="I179" s="25">
        <f t="shared" si="2"/>
        <v>75280</v>
      </c>
    </row>
    <row r="180" spans="5:9" ht="24.75" thickBot="1" x14ac:dyDescent="0.3">
      <c r="E180" s="82" t="s">
        <v>126</v>
      </c>
      <c r="F180" s="26"/>
      <c r="G180" s="83">
        <f>G179/F179-1</f>
        <v>2.622072832257083E-2</v>
      </c>
      <c r="H180" s="83">
        <f>H179/G179-1</f>
        <v>2.2819010859076672E-2</v>
      </c>
      <c r="I180" s="83">
        <f>I179/H179-1</f>
        <v>2.9232772595610967E-4</v>
      </c>
    </row>
    <row r="181" spans="5:9" ht="15.75" thickBot="1" x14ac:dyDescent="0.3">
      <c r="E181" s="24" t="s">
        <v>87</v>
      </c>
      <c r="F181" s="25">
        <f>F167+F143+F119+F93+F67+F44</f>
        <v>136900</v>
      </c>
      <c r="G181" s="25">
        <f t="shared" ref="G181:I181" si="3">G167+G143+G119+G93+G67+G44</f>
        <v>151000</v>
      </c>
      <c r="H181" s="25">
        <f t="shared" si="3"/>
        <v>157200</v>
      </c>
      <c r="I181" s="25">
        <f t="shared" si="3"/>
        <v>164500</v>
      </c>
    </row>
    <row r="182" spans="5:9" ht="15.75" thickBot="1" x14ac:dyDescent="0.3">
      <c r="E182" s="82" t="s">
        <v>127</v>
      </c>
      <c r="F182" s="26"/>
      <c r="G182" s="83">
        <f>G181/F181-1</f>
        <v>0.10299488677867052</v>
      </c>
      <c r="H182" s="83">
        <f>H181/G181-1</f>
        <v>4.1059602649006655E-2</v>
      </c>
      <c r="I182" s="83">
        <f>I181/H181-1</f>
        <v>4.6437659033078837E-2</v>
      </c>
    </row>
    <row r="183" spans="5:9" ht="15.75" thickBot="1" x14ac:dyDescent="0.3">
      <c r="E183" s="24" t="s">
        <v>88</v>
      </c>
      <c r="F183" s="25">
        <f>F168+F144+F120+F94+F68+F45</f>
        <v>490000</v>
      </c>
      <c r="G183" s="25">
        <f t="shared" ref="G183:I183" si="4">G168+G144+G120+G94+G68+G45</f>
        <v>1000000</v>
      </c>
      <c r="H183" s="25">
        <f t="shared" si="4"/>
        <v>1000000</v>
      </c>
      <c r="I183" s="25">
        <f t="shared" si="4"/>
        <v>1100000</v>
      </c>
    </row>
    <row r="184" spans="5:9" ht="15.75" thickBot="1" x14ac:dyDescent="0.3">
      <c r="E184" s="82" t="s">
        <v>231</v>
      </c>
      <c r="F184" s="26"/>
      <c r="G184" s="83">
        <f>G183/F183-1</f>
        <v>1.0408163265306123</v>
      </c>
      <c r="H184" s="83">
        <f>H183/G183-1</f>
        <v>0</v>
      </c>
      <c r="I184" s="83">
        <f>I183/H183-1</f>
        <v>0.10000000000000009</v>
      </c>
    </row>
    <row r="185" spans="5:9" ht="15.75" thickBot="1" x14ac:dyDescent="0.3">
      <c r="E185" s="24" t="s">
        <v>89</v>
      </c>
      <c r="F185" s="25">
        <f>F169+F145+F121+F95+F69+F46</f>
        <v>0</v>
      </c>
      <c r="G185" s="25">
        <f t="shared" ref="G185:I185" si="5">G169+G145+G121+G95+G69+G46</f>
        <v>0</v>
      </c>
      <c r="H185" s="25">
        <f t="shared" si="5"/>
        <v>0</v>
      </c>
      <c r="I185" s="25">
        <f t="shared" si="5"/>
        <v>0</v>
      </c>
    </row>
    <row r="186" spans="5:9" ht="15.75" thickBot="1" x14ac:dyDescent="0.3">
      <c r="E186" s="82" t="s">
        <v>232</v>
      </c>
      <c r="F186" s="26"/>
      <c r="G186" s="83" t="e">
        <f>G185/F185-1</f>
        <v>#DIV/0!</v>
      </c>
      <c r="H186" s="83" t="e">
        <f>H185/G185-1</f>
        <v>#DIV/0!</v>
      </c>
      <c r="I186" s="83" t="e">
        <f>I185/H185-1</f>
        <v>#DIV/0!</v>
      </c>
    </row>
    <row r="187" spans="5:9" ht="15.75" thickBot="1" x14ac:dyDescent="0.3">
      <c r="E187" s="24" t="s">
        <v>90</v>
      </c>
      <c r="F187" s="25">
        <f>F170+F146+F122+F96+F70+F47</f>
        <v>0</v>
      </c>
      <c r="G187" s="25">
        <f t="shared" ref="G187:I187" si="6">G170+G146+G122+G96+G70+G47</f>
        <v>0</v>
      </c>
      <c r="H187" s="25">
        <f t="shared" si="6"/>
        <v>0</v>
      </c>
      <c r="I187" s="25">
        <f t="shared" si="6"/>
        <v>0</v>
      </c>
    </row>
    <row r="188" spans="5:9" ht="15.75" thickBot="1" x14ac:dyDescent="0.3">
      <c r="E188" s="82" t="s">
        <v>233</v>
      </c>
      <c r="F188" s="26"/>
      <c r="G188" s="83" t="e">
        <f>G187/F187-1</f>
        <v>#DIV/0!</v>
      </c>
      <c r="H188" s="83" t="e">
        <f>H187/G187-1</f>
        <v>#DIV/0!</v>
      </c>
      <c r="I188" s="83" t="e">
        <f>I187/H187-1</f>
        <v>#DIV/0!</v>
      </c>
    </row>
    <row r="189" spans="5:9" ht="15.75" thickBot="1" x14ac:dyDescent="0.3">
      <c r="E189" s="24" t="s">
        <v>91</v>
      </c>
      <c r="F189" s="25">
        <f>F171+F147+F123+F97+F71+F48</f>
        <v>800000</v>
      </c>
      <c r="G189" s="25">
        <f t="shared" ref="G189:I189" si="7">G171+G147+G123+G97+G71+G48</f>
        <v>600000</v>
      </c>
      <c r="H189" s="25">
        <f t="shared" si="7"/>
        <v>700000</v>
      </c>
      <c r="I189" s="25">
        <f t="shared" si="7"/>
        <v>750000</v>
      </c>
    </row>
    <row r="190" spans="5:9" ht="24.75" thickBot="1" x14ac:dyDescent="0.3">
      <c r="E190" s="82" t="s">
        <v>234</v>
      </c>
      <c r="F190" s="26"/>
      <c r="G190" s="83">
        <f>G189/F189-1</f>
        <v>-0.25</v>
      </c>
      <c r="H190" s="83">
        <f>H189/G189-1</f>
        <v>0.16666666666666674</v>
      </c>
      <c r="I190" s="83">
        <f>I189/H189-1</f>
        <v>7.1428571428571397E-2</v>
      </c>
    </row>
    <row r="191" spans="5:9" ht="15.75" thickBot="1" x14ac:dyDescent="0.3">
      <c r="E191" s="24" t="s">
        <v>128</v>
      </c>
      <c r="F191" s="25">
        <v>0</v>
      </c>
      <c r="G191" s="25">
        <v>0</v>
      </c>
      <c r="H191" s="25">
        <v>0</v>
      </c>
      <c r="I191" s="25">
        <v>0</v>
      </c>
    </row>
    <row r="192" spans="5:9" ht="15.75" thickBot="1" x14ac:dyDescent="0.3">
      <c r="E192" s="82" t="s">
        <v>129</v>
      </c>
      <c r="F192" s="26"/>
      <c r="G192" s="83" t="e">
        <f>G191/F191-1</f>
        <v>#DIV/0!</v>
      </c>
      <c r="H192" s="83" t="e">
        <f>H191/G191-1</f>
        <v>#DIV/0!</v>
      </c>
      <c r="I192" s="83" t="e">
        <f>I191/H191-1</f>
        <v>#DIV/0!</v>
      </c>
    </row>
    <row r="193" spans="5:9" ht="15.75" thickBot="1" x14ac:dyDescent="0.3">
      <c r="E193" s="24" t="s">
        <v>235</v>
      </c>
      <c r="F193" s="25">
        <v>0</v>
      </c>
      <c r="G193" s="25">
        <v>0</v>
      </c>
      <c r="H193" s="25">
        <v>0</v>
      </c>
      <c r="I193" s="25">
        <v>0</v>
      </c>
    </row>
    <row r="194" spans="5:9" ht="15.75" thickBot="1" x14ac:dyDescent="0.3">
      <c r="E194" s="82" t="s">
        <v>236</v>
      </c>
      <c r="F194" s="26"/>
      <c r="G194" s="83" t="e">
        <f>G193/F193-1</f>
        <v>#DIV/0!</v>
      </c>
      <c r="H194" s="83" t="e">
        <f>H193/G193-1</f>
        <v>#DIV/0!</v>
      </c>
      <c r="I194" s="83" t="e">
        <f>I193/H193-1</f>
        <v>#DIV/0!</v>
      </c>
    </row>
  </sheetData>
  <mergeCells count="56">
    <mergeCell ref="E163:E164"/>
    <mergeCell ref="F150:I150"/>
    <mergeCell ref="F151:I151"/>
    <mergeCell ref="F152:I152"/>
    <mergeCell ref="F153:I153"/>
    <mergeCell ref="E154:E155"/>
    <mergeCell ref="E162:I162"/>
    <mergeCell ref="E139:E140"/>
    <mergeCell ref="F104:I104"/>
    <mergeCell ref="F105:I105"/>
    <mergeCell ref="E106:E107"/>
    <mergeCell ref="E114:I114"/>
    <mergeCell ref="E115:E116"/>
    <mergeCell ref="F126:I126"/>
    <mergeCell ref="F127:I127"/>
    <mergeCell ref="F128:I128"/>
    <mergeCell ref="F129:I129"/>
    <mergeCell ref="E130:E131"/>
    <mergeCell ref="E138:I138"/>
    <mergeCell ref="F53:I53"/>
    <mergeCell ref="E55:E56"/>
    <mergeCell ref="E62:I62"/>
    <mergeCell ref="E63:E64"/>
    <mergeCell ref="F103:I103"/>
    <mergeCell ref="E75:I75"/>
    <mergeCell ref="F76:I76"/>
    <mergeCell ref="F77:I77"/>
    <mergeCell ref="F78:I78"/>
    <mergeCell ref="F79:I79"/>
    <mergeCell ref="E80:E81"/>
    <mergeCell ref="E88:I88"/>
    <mergeCell ref="E89:E90"/>
    <mergeCell ref="E99:E101"/>
    <mergeCell ref="F99:I101"/>
    <mergeCell ref="F102:I102"/>
    <mergeCell ref="E31:E32"/>
    <mergeCell ref="E39:I39"/>
    <mergeCell ref="E40:E41"/>
    <mergeCell ref="F51:I51"/>
    <mergeCell ref="F52:I52"/>
    <mergeCell ref="E173:I173"/>
    <mergeCell ref="F28:I28"/>
    <mergeCell ref="E2:I2"/>
    <mergeCell ref="F4:I4"/>
    <mergeCell ref="F5:I5"/>
    <mergeCell ref="F6:I6"/>
    <mergeCell ref="E7:I7"/>
    <mergeCell ref="E8:I10"/>
    <mergeCell ref="F11:I11"/>
    <mergeCell ref="E12:E13"/>
    <mergeCell ref="F15:I15"/>
    <mergeCell ref="E16:I16"/>
    <mergeCell ref="E27:I27"/>
    <mergeCell ref="E74:I74"/>
    <mergeCell ref="F29:I29"/>
    <mergeCell ref="F30:I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Formati 1 Misioni</vt:lpstr>
      <vt:lpstr>Formati 2.1 MSHP</vt:lpstr>
      <vt:lpstr>Formati 2.1 Tatime</vt:lpstr>
      <vt:lpstr>Formati 2.1 Dogana</vt:lpstr>
      <vt:lpstr>Formati 2.1 DPPP</vt:lpstr>
      <vt:lpstr>Formati 2.1Mbesht.Zhvillm.Ekon</vt:lpstr>
      <vt:lpstr>Formati 2.1Mbesht.Mbike.Treg</vt:lpstr>
      <vt:lpstr>Formati 2.1Sigurimi Shoqeror</vt:lpstr>
      <vt:lpstr>Formati 2.1Tregu i Punes</vt:lpstr>
      <vt:lpstr>Formati2.1 Inspektimi i Punes</vt:lpstr>
      <vt:lpstr>Formati 2.1 Arsimi Profesional</vt:lpstr>
      <vt:lpstr>Formati 2.1 Strehimi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Esjola Mullaymeri</dc:creator>
  <cp:lastModifiedBy>Ina Dhaskali</cp:lastModifiedBy>
  <dcterms:created xsi:type="dcterms:W3CDTF">2018-06-28T09:09:05Z</dcterms:created>
  <dcterms:modified xsi:type="dcterms:W3CDTF">2018-07-06T08:44:49Z</dcterms:modified>
</cp:coreProperties>
</file>