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19440" windowHeight="11835" firstSheet="3" activeTab="3"/>
  </bookViews>
  <sheets>
    <sheet name="Gr.11 _Misioni_MASR _ 2019-2021" sheetId="10" state="hidden" r:id="rId1"/>
    <sheet name="01110 PM Dek Pol Prog 2019-2021" sheetId="12" state="hidden" r:id="rId2"/>
    <sheet name="01110 PM Form 2 PolAktual 19-21" sheetId="23" state="hidden" r:id="rId3"/>
    <sheet name="Misioni 2019-2021" sheetId="39" r:id="rId4"/>
    <sheet name="Formati 2.1 01110" sheetId="8" r:id="rId5"/>
    <sheet name="01110 F3 Politika Reja 19-21" sheetId="24" state="hidden" r:id="rId6"/>
    <sheet name="09120 AB_DeklaraPP 2019-2021 " sheetId="13" state="hidden" r:id="rId7"/>
    <sheet name="09120 AB_Form 2 kerk ligjo19-21" sheetId="31" state="hidden" r:id="rId8"/>
    <sheet name="Formati 2.1 Arsimi Baze" sheetId="14" r:id="rId9"/>
    <sheet name="09120 AB_Form 3 Ker Reja  19-21" sheetId="32" state="hidden" r:id="rId10"/>
    <sheet name="09230 AM _Deklar PPS 2019-2021" sheetId="16" state="hidden" r:id="rId11"/>
    <sheet name="09230_AM_Form 2 Kerk Ligj19-21" sheetId="33" state="hidden" r:id="rId12"/>
    <sheet name="Formati 2.1 Arsimi Mesem" sheetId="17" r:id="rId13"/>
    <sheet name="09230_AM_Form 3 Kerk Reja 19-21" sheetId="34" state="hidden" r:id="rId14"/>
    <sheet name="09450_IAL_Dekl PPS 2019-2021" sheetId="15" state="hidden" r:id="rId15"/>
    <sheet name="09450 IAL F 2 P Aktual 19-21 " sheetId="25" state="hidden" r:id="rId16"/>
    <sheet name="Formati 2.1 Arsimi Larte" sheetId="18" r:id="rId17"/>
    <sheet name="09450 IAL F3 Pol rendesi 19-21 " sheetId="26" state="hidden" r:id="rId18"/>
    <sheet name="09770_Deklarata KSh 2019-2021" sheetId="19" state="hidden" r:id="rId19"/>
    <sheet name="09770 KSH _F 2 Pol Aktua 19-21" sheetId="27" state="hidden" r:id="rId20"/>
    <sheet name="Formati 2.1 Fonde per Shkencen" sheetId="20" r:id="rId21"/>
    <sheet name="09770 KSH _F 3 Pol Reja 19-21" sheetId="30" state="hidden" r:id="rId22"/>
    <sheet name="08140 F 2 Polit Akt ligjore 19-" sheetId="28" state="hidden" r:id="rId23"/>
    <sheet name="PSR0814 Form 2.1Tavan 2019-2021" sheetId="29" state="hidden" r:id="rId24"/>
    <sheet name="08140_Deklata_PPS 2019-2021" sheetId="21" state="hidden" r:id="rId25"/>
    <sheet name="Formati 2.1 Sporti dhe Rinia" sheetId="22" r:id="rId26"/>
    <sheet name="Formati 3 Politika te reja" sheetId="2" state="hidden" r:id="rId27"/>
    <sheet name="F.4. Alokimi i tavan 2019-2021" sheetId="4" state="hidden" r:id="rId28"/>
    <sheet name="F. 5. Invest vazhd 2018-2021 MF" sheetId="9" state="hidden" r:id="rId29"/>
    <sheet name="Formati nr.6. Investimet Reja 1" sheetId="35" state="hidden" r:id="rId30"/>
    <sheet name="Detajimi 2018-2021 MF" sheetId="11" state="hidden" r:id="rId31"/>
  </sheets>
  <externalReferences>
    <externalReference r:id="rId32"/>
  </externalReferences>
  <definedNames>
    <definedName name="_xlnm._FilterDatabase" localSheetId="30" hidden="1">'Detajimi 2018-2021 MF'!$A$3:$Z$92</definedName>
    <definedName name="_xlnm._FilterDatabase" localSheetId="28" hidden="1">'F. 5. Invest vazhd 2018-2021 MF'!$A$3:$Z$92</definedName>
    <definedName name="_xlnm._FilterDatabase" localSheetId="25" hidden="1">'Formati 2.1 Sporti dhe Rinia'!#REF!</definedName>
    <definedName name="_xlnm._FilterDatabase" localSheetId="29" hidden="1">'Formati nr.6. Investimet Reja 1'!$A$3:$AB$71</definedName>
    <definedName name="_xlnm._FilterDatabase" localSheetId="23" hidden="1">'PSR0814 Form 2.1Tavan 2019-2021'!$B$1:$K$1</definedName>
    <definedName name="kapitulli" localSheetId="2">'[1]Formulari 3'!#REF!</definedName>
    <definedName name="kapitulli" localSheetId="7">'[1]Formulari 3'!#REF!</definedName>
    <definedName name="kapitulli" localSheetId="9">'[1]Formulari 3'!#REF!</definedName>
    <definedName name="kapitulli" localSheetId="11">'[1]Formulari 3'!#REF!</definedName>
    <definedName name="kapitulli" localSheetId="13">'[1]Formulari 3'!#REF!</definedName>
    <definedName name="kapitulli" localSheetId="15">'[1]Formulari 3'!#REF!</definedName>
    <definedName name="kapitulli" localSheetId="17">'[1]Formulari 3'!#REF!</definedName>
    <definedName name="kapitulli" localSheetId="19">'[1]Formulari 3'!#REF!</definedName>
    <definedName name="kapitulli" localSheetId="21">'[1]Formulari 3'!#REF!</definedName>
    <definedName name="kapitulli" localSheetId="30">'[1]Formulari 3'!#REF!</definedName>
    <definedName name="kapitulli" localSheetId="28">'[1]Formulari 3'!#REF!</definedName>
    <definedName name="kapitulli" localSheetId="29">'[1]Formulari 3'!#REF!</definedName>
    <definedName name="kapitulli" localSheetId="3">'[1]Formulari 3'!#REF!</definedName>
    <definedName name="kapitulli">'[1]Formulari 3'!#REF!</definedName>
    <definedName name="_xlnm.Print_Area" localSheetId="1">'01110 PM Dek Pol Prog 2019-2021'!$A$1:$K$65</definedName>
    <definedName name="_xlnm.Print_Area" localSheetId="2">'01110 PM Form 2 PolAktual 19-21'!$A$1:$F$303</definedName>
    <definedName name="_xlnm.Print_Area" localSheetId="7">'09120 AB_Form 2 kerk ligjo19-21'!$A$1:$G$404</definedName>
    <definedName name="_xlnm.Print_Area" localSheetId="9">'09120 AB_Form 3 Ker Reja  19-21'!$A$1:$G$187</definedName>
    <definedName name="_xlnm.Print_Area" localSheetId="10">'09230 AM _Deklar PPS 2019-2021'!$A$1:$L$73</definedName>
    <definedName name="_xlnm.Print_Area" localSheetId="11">'09230_AM_Form 2 Kerk Ligj19-21'!$A$1:$G$358</definedName>
    <definedName name="_xlnm.Print_Area" localSheetId="13">'09230_AM_Form 3 Kerk Reja 19-21'!$A$1:$G$195</definedName>
    <definedName name="_xlnm.Print_Area" localSheetId="19">'09770 KSH _F 2 Pol Aktua 19-21'!$A$1:$G$281</definedName>
    <definedName name="_xlnm.Print_Area" localSheetId="21">'09770 KSH _F 3 Pol Reja 19-21'!$A$1:$G$200</definedName>
    <definedName name="_xlnm.Print_Area" localSheetId="30">'Detajimi 2018-2021 MF'!$A$1:$V$92</definedName>
    <definedName name="_xlnm.Print_Area" localSheetId="28">'F. 5. Invest vazhd 2018-2021 MF'!$A$1:$AI$92</definedName>
    <definedName name="_xlnm.Print_Area" localSheetId="27">'F.4. Alokimi i tavan 2019-2021'!$A$1:$G$88</definedName>
    <definedName name="_xlnm.Print_Area" localSheetId="4">'Formati 2.1 01110'!$A$1:$F$264</definedName>
    <definedName name="_xlnm.Print_Area" localSheetId="8">'Formati 2.1 Arsimi Baze'!$A$1:$G$385</definedName>
    <definedName name="_xlnm.Print_Area" localSheetId="12">'Formati 2.1 Arsimi Mesem'!$A$1:$G$342</definedName>
    <definedName name="_xlnm.Print_Area" localSheetId="25">'Formati 2.1 Sporti dhe Rinia'!$A$1:$F$397</definedName>
    <definedName name="_xlnm.Print_Area" localSheetId="29">'Formati nr.6. Investimet Reja 1'!$A$1:$X$4</definedName>
    <definedName name="_xlnm.Print_Area" localSheetId="0">'Gr.11 _Misioni_MASR _ 2019-2021'!$A$3:$J$40</definedName>
    <definedName name="_xlnm.Print_Area" localSheetId="3">'Misioni 2019-2021'!$A$3:$J$37</definedName>
    <definedName name="_xlnm.Print_Area" localSheetId="23">'PSR0814 Form 2.1Tavan 2019-2021'!$A$1:$F$415</definedName>
    <definedName name="_xlnm.Print_Titles" localSheetId="30">'Detajimi 2018-2021 MF'!$3:$3</definedName>
    <definedName name="_xlnm.Print_Titles" localSheetId="28">'F. 5. Invest vazhd 2018-2021 MF'!$3:$3</definedName>
    <definedName name="_xlnm.Print_Titles" localSheetId="29">'Formati nr.6. Investimet Reja 1'!$3:$3</definedName>
    <definedName name="Tavani_Vjetor" localSheetId="2">#REF!</definedName>
    <definedName name="Tavani_Vjetor" localSheetId="7">#REF!</definedName>
    <definedName name="Tavani_Vjetor" localSheetId="9">#REF!</definedName>
    <definedName name="Tavani_Vjetor" localSheetId="11">#REF!</definedName>
    <definedName name="Tavani_Vjetor" localSheetId="13">#REF!</definedName>
    <definedName name="Tavani_Vjetor" localSheetId="15">#REF!</definedName>
    <definedName name="Tavani_Vjetor" localSheetId="17">#REF!</definedName>
    <definedName name="Tavani_Vjetor" localSheetId="19">#REF!</definedName>
    <definedName name="Tavani_Vjetor" localSheetId="21">#REF!</definedName>
    <definedName name="Tavani_Vjetor" localSheetId="30">#REF!</definedName>
    <definedName name="Tavani_Vjetor" localSheetId="28">#REF!</definedName>
    <definedName name="Tavani_Vjetor" localSheetId="29">#REF!</definedName>
    <definedName name="Tavani_Vjetor" localSheetId="3">#REF!</definedName>
    <definedName name="Tavani_Vjetor">#REF!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18" l="1"/>
  <c r="D27" i="14" l="1"/>
  <c r="E385" i="22" l="1"/>
  <c r="F375" i="22"/>
  <c r="E375" i="22"/>
  <c r="D375" i="22"/>
  <c r="C375" i="22"/>
  <c r="G214" i="20"/>
  <c r="F214" i="20"/>
  <c r="E214" i="20"/>
  <c r="D214" i="20"/>
  <c r="G165" i="18"/>
  <c r="F165" i="18"/>
  <c r="E165" i="18"/>
  <c r="D165" i="18"/>
  <c r="G362" i="14"/>
  <c r="F362" i="14"/>
  <c r="D245" i="8"/>
  <c r="C245" i="8"/>
  <c r="F245" i="8"/>
  <c r="E245" i="8"/>
  <c r="F243" i="8"/>
  <c r="E243" i="8"/>
  <c r="F240" i="8"/>
  <c r="E240" i="8"/>
  <c r="AC65" i="35" l="1"/>
  <c r="Z65" i="35"/>
  <c r="Z4" i="35" s="1"/>
  <c r="Z2" i="35" s="1"/>
  <c r="N65" i="35"/>
  <c r="AC38" i="35"/>
  <c r="Z38" i="35"/>
  <c r="N38" i="35"/>
  <c r="N4" i="35" s="1"/>
  <c r="AK4" i="35"/>
  <c r="AJ4" i="35"/>
  <c r="AI4" i="35"/>
  <c r="AH4" i="35"/>
  <c r="AG4" i="35"/>
  <c r="AF4" i="35"/>
  <c r="AE4" i="35"/>
  <c r="AD4" i="35"/>
  <c r="AB4" i="35"/>
  <c r="AA4" i="35"/>
  <c r="Y4" i="35"/>
  <c r="X4" i="35"/>
  <c r="W4" i="35"/>
  <c r="V4" i="35"/>
  <c r="U4" i="35"/>
  <c r="T4" i="35"/>
  <c r="S4" i="35"/>
  <c r="R4" i="35"/>
  <c r="Q4" i="35"/>
  <c r="O4" i="35"/>
  <c r="X2" i="35"/>
  <c r="W2" i="35"/>
  <c r="V2" i="35"/>
  <c r="AC4" i="35" l="1"/>
  <c r="D107" i="34"/>
  <c r="F74" i="34"/>
  <c r="F77" i="34" s="1"/>
  <c r="G74" i="34"/>
  <c r="D74" i="34"/>
  <c r="E74" i="34"/>
  <c r="E49" i="34"/>
  <c r="E52" i="34" s="1"/>
  <c r="F49" i="34"/>
  <c r="F52" i="34" s="1"/>
  <c r="G49" i="34"/>
  <c r="D49" i="34"/>
  <c r="E50" i="34"/>
  <c r="E51" i="34" s="1"/>
  <c r="F50" i="34"/>
  <c r="G50" i="34"/>
  <c r="D50" i="34"/>
  <c r="D64" i="34" s="1"/>
  <c r="D174" i="34" s="1"/>
  <c r="E107" i="34"/>
  <c r="F107" i="34"/>
  <c r="G107" i="34"/>
  <c r="E108" i="34"/>
  <c r="F108" i="34"/>
  <c r="G108" i="34"/>
  <c r="D108" i="34"/>
  <c r="E125" i="34"/>
  <c r="E97" i="34" s="1"/>
  <c r="E99" i="34" s="1"/>
  <c r="F125" i="34"/>
  <c r="G125" i="34"/>
  <c r="G128" i="34" s="1"/>
  <c r="E126" i="34"/>
  <c r="E135" i="34" s="1"/>
  <c r="E136" i="34" s="1"/>
  <c r="E137" i="34" s="1"/>
  <c r="F126" i="34"/>
  <c r="F129" i="34" s="1"/>
  <c r="G126" i="34"/>
  <c r="D125" i="34"/>
  <c r="D126" i="34"/>
  <c r="E143" i="34"/>
  <c r="F146" i="34" s="1"/>
  <c r="F143" i="34"/>
  <c r="G143" i="34"/>
  <c r="D143" i="34"/>
  <c r="H41" i="33"/>
  <c r="H42" i="33" s="1"/>
  <c r="D36" i="34"/>
  <c r="E36" i="34"/>
  <c r="F36" i="34"/>
  <c r="G36" i="34"/>
  <c r="G164" i="34" s="1"/>
  <c r="D38" i="34"/>
  <c r="E38" i="34"/>
  <c r="F38" i="34"/>
  <c r="G38" i="34"/>
  <c r="E35" i="34"/>
  <c r="E162" i="34" s="1"/>
  <c r="F35" i="34"/>
  <c r="G35" i="34"/>
  <c r="G162" i="34" s="1"/>
  <c r="D35" i="34"/>
  <c r="J31" i="34" s="1"/>
  <c r="J361" i="33"/>
  <c r="K361" i="33" s="1"/>
  <c r="L361" i="33" s="1"/>
  <c r="K354" i="33"/>
  <c r="P354" i="33" s="1"/>
  <c r="J354" i="33"/>
  <c r="I354" i="33"/>
  <c r="P353" i="33"/>
  <c r="O353" i="33"/>
  <c r="I353" i="33"/>
  <c r="N353" i="33" s="1"/>
  <c r="L352" i="33"/>
  <c r="L357" i="33" s="1"/>
  <c r="K352" i="33"/>
  <c r="J352" i="33"/>
  <c r="I352" i="33"/>
  <c r="D52" i="24"/>
  <c r="F52" i="24"/>
  <c r="E52" i="24"/>
  <c r="E59" i="24" s="1"/>
  <c r="C52" i="24"/>
  <c r="D49" i="24"/>
  <c r="E49" i="24"/>
  <c r="F49" i="24"/>
  <c r="C49" i="24"/>
  <c r="D46" i="24"/>
  <c r="E46" i="24"/>
  <c r="F46" i="24"/>
  <c r="C46" i="24"/>
  <c r="C38" i="24"/>
  <c r="D41" i="24" s="1"/>
  <c r="J46" i="24"/>
  <c r="F42" i="24"/>
  <c r="E42" i="24"/>
  <c r="D42" i="24"/>
  <c r="F41" i="24"/>
  <c r="F40" i="24"/>
  <c r="E40" i="24"/>
  <c r="D40" i="24"/>
  <c r="F28" i="24"/>
  <c r="E28" i="24"/>
  <c r="D28" i="24"/>
  <c r="C28" i="24"/>
  <c r="F27" i="24"/>
  <c r="E27" i="24"/>
  <c r="D27" i="24"/>
  <c r="C27" i="24"/>
  <c r="F25" i="24"/>
  <c r="E25" i="24"/>
  <c r="D25" i="24"/>
  <c r="C25" i="24"/>
  <c r="C63" i="24"/>
  <c r="D63" i="24"/>
  <c r="E63" i="24"/>
  <c r="F63" i="24"/>
  <c r="C66" i="24"/>
  <c r="D66" i="24"/>
  <c r="E66" i="24"/>
  <c r="F66" i="24"/>
  <c r="D129" i="23"/>
  <c r="E129" i="23"/>
  <c r="F129" i="23"/>
  <c r="C129" i="23"/>
  <c r="D166" i="23"/>
  <c r="D89" i="24" s="1"/>
  <c r="D194" i="23"/>
  <c r="D191" i="23"/>
  <c r="F89" i="24"/>
  <c r="E89" i="24"/>
  <c r="E190" i="24" s="1"/>
  <c r="E79" i="24"/>
  <c r="D79" i="24"/>
  <c r="D95" i="24"/>
  <c r="E95" i="24"/>
  <c r="F95" i="24"/>
  <c r="F79" i="24"/>
  <c r="D148" i="8"/>
  <c r="E148" i="8"/>
  <c r="F148" i="8"/>
  <c r="C148" i="8"/>
  <c r="C153" i="8" s="1"/>
  <c r="C255" i="8"/>
  <c r="C95" i="24"/>
  <c r="H166" i="23"/>
  <c r="I166" i="23"/>
  <c r="D97" i="34"/>
  <c r="D99" i="34" s="1"/>
  <c r="L180" i="34"/>
  <c r="K180" i="34"/>
  <c r="J180" i="34"/>
  <c r="J179" i="34"/>
  <c r="M178" i="34"/>
  <c r="M183" i="34" s="1"/>
  <c r="L178" i="34"/>
  <c r="K178" i="34"/>
  <c r="K183" i="34" s="1"/>
  <c r="J178" i="34"/>
  <c r="G176" i="34"/>
  <c r="F176" i="34"/>
  <c r="E176" i="34"/>
  <c r="D176" i="34"/>
  <c r="F162" i="34"/>
  <c r="D162" i="34"/>
  <c r="G146" i="34"/>
  <c r="D135" i="34"/>
  <c r="D136" i="34" s="1"/>
  <c r="D137" i="34" s="1"/>
  <c r="G129" i="34"/>
  <c r="F127" i="34"/>
  <c r="J124" i="34"/>
  <c r="I124" i="34"/>
  <c r="H124" i="34"/>
  <c r="J123" i="34"/>
  <c r="J140" i="34" s="1"/>
  <c r="J141" i="34" s="1"/>
  <c r="I123" i="34"/>
  <c r="I140" i="34" s="1"/>
  <c r="I141" i="34" s="1"/>
  <c r="H123" i="34"/>
  <c r="H140" i="34" s="1"/>
  <c r="H141" i="34" s="1"/>
  <c r="H142" i="34" s="1"/>
  <c r="G117" i="34"/>
  <c r="G118" i="34" s="1"/>
  <c r="G119" i="34" s="1"/>
  <c r="F117" i="34"/>
  <c r="D117" i="34"/>
  <c r="D118" i="34" s="1"/>
  <c r="D119" i="34" s="1"/>
  <c r="G110" i="34"/>
  <c r="F110" i="34"/>
  <c r="E110" i="34"/>
  <c r="F109" i="34"/>
  <c r="D109" i="34"/>
  <c r="J105" i="34"/>
  <c r="I105" i="34"/>
  <c r="H105" i="34"/>
  <c r="J104" i="34"/>
  <c r="I104" i="34"/>
  <c r="H104" i="34"/>
  <c r="G97" i="34"/>
  <c r="G99" i="34" s="1"/>
  <c r="F97" i="34"/>
  <c r="F99" i="34" s="1"/>
  <c r="G79" i="34"/>
  <c r="F79" i="34"/>
  <c r="E79" i="34"/>
  <c r="G77" i="34"/>
  <c r="E77" i="34"/>
  <c r="J73" i="34"/>
  <c r="I73" i="34"/>
  <c r="H73" i="34"/>
  <c r="J72" i="34"/>
  <c r="I72" i="34"/>
  <c r="H72" i="34"/>
  <c r="G64" i="34"/>
  <c r="G67" i="34" s="1"/>
  <c r="G68" i="34" s="1"/>
  <c r="G52" i="34"/>
  <c r="G51" i="34"/>
  <c r="D51" i="34"/>
  <c r="J48" i="34"/>
  <c r="I48" i="34"/>
  <c r="H48" i="34"/>
  <c r="J47" i="34"/>
  <c r="I47" i="34"/>
  <c r="H47" i="34"/>
  <c r="J34" i="34"/>
  <c r="I34" i="34"/>
  <c r="H34" i="34"/>
  <c r="H32" i="34"/>
  <c r="I32" i="34" s="1"/>
  <c r="G30" i="34"/>
  <c r="F30" i="34"/>
  <c r="G29" i="34"/>
  <c r="F29" i="34"/>
  <c r="E29" i="34"/>
  <c r="F28" i="34"/>
  <c r="E28" i="34"/>
  <c r="E30" i="34"/>
  <c r="G15" i="34"/>
  <c r="G18" i="34" s="1"/>
  <c r="F15" i="34"/>
  <c r="F18" i="34" s="1"/>
  <c r="E15" i="34"/>
  <c r="E18" i="34" s="1"/>
  <c r="D14" i="34"/>
  <c r="J213" i="33"/>
  <c r="J230" i="33" s="1"/>
  <c r="J231" i="33" s="1"/>
  <c r="J214" i="33"/>
  <c r="I213" i="33"/>
  <c r="I230" i="33" s="1"/>
  <c r="I231" i="33" s="1"/>
  <c r="I214" i="33"/>
  <c r="H214" i="33"/>
  <c r="H213" i="33"/>
  <c r="H230" i="33" s="1"/>
  <c r="H231" i="33" s="1"/>
  <c r="H232" i="33" s="1"/>
  <c r="E199" i="33"/>
  <c r="F199" i="33"/>
  <c r="G199" i="33"/>
  <c r="G202" i="33" s="1"/>
  <c r="D199" i="33"/>
  <c r="E202" i="33" s="1"/>
  <c r="I194" i="33"/>
  <c r="J194" i="33"/>
  <c r="I195" i="33"/>
  <c r="J195" i="33"/>
  <c r="H195" i="33"/>
  <c r="H194" i="33"/>
  <c r="I133" i="33"/>
  <c r="J133" i="33"/>
  <c r="H133" i="33"/>
  <c r="I132" i="33"/>
  <c r="J132" i="33"/>
  <c r="H132" i="33"/>
  <c r="I109" i="33"/>
  <c r="J109" i="33"/>
  <c r="H109" i="33"/>
  <c r="I110" i="33"/>
  <c r="J110" i="33"/>
  <c r="H110" i="33"/>
  <c r="J40" i="33"/>
  <c r="G23" i="33"/>
  <c r="D23" i="33"/>
  <c r="J43" i="33"/>
  <c r="I43" i="33"/>
  <c r="H43" i="33"/>
  <c r="L343" i="33"/>
  <c r="K343" i="33"/>
  <c r="J343" i="33"/>
  <c r="J342" i="33"/>
  <c r="M341" i="33"/>
  <c r="M346" i="33" s="1"/>
  <c r="L341" i="33"/>
  <c r="K341" i="33"/>
  <c r="K346" i="33" s="1"/>
  <c r="J341" i="33"/>
  <c r="J346" i="33" s="1"/>
  <c r="G339" i="33"/>
  <c r="F339" i="33"/>
  <c r="E339" i="33"/>
  <c r="D339" i="33"/>
  <c r="G327" i="33"/>
  <c r="G325" i="33"/>
  <c r="F325" i="33"/>
  <c r="E325" i="33"/>
  <c r="D325" i="33"/>
  <c r="G316" i="33"/>
  <c r="G317" i="33" s="1"/>
  <c r="G318" i="33" s="1"/>
  <c r="F316" i="33"/>
  <c r="F317" i="33" s="1"/>
  <c r="F318" i="33" s="1"/>
  <c r="E316" i="33"/>
  <c r="E317" i="33" s="1"/>
  <c r="E318" i="33" s="1"/>
  <c r="D316" i="33"/>
  <c r="D317" i="33" s="1"/>
  <c r="D318" i="33" s="1"/>
  <c r="G311" i="33"/>
  <c r="F311" i="33"/>
  <c r="E311" i="33"/>
  <c r="G310" i="33"/>
  <c r="F310" i="33"/>
  <c r="E310" i="33"/>
  <c r="G309" i="33"/>
  <c r="F309" i="33"/>
  <c r="E309" i="33"/>
  <c r="G308" i="33"/>
  <c r="G292" i="33"/>
  <c r="G293" i="33" s="1"/>
  <c r="G294" i="33" s="1"/>
  <c r="F292" i="33"/>
  <c r="F293" i="33" s="1"/>
  <c r="F294" i="33" s="1"/>
  <c r="E292" i="33"/>
  <c r="E293" i="33" s="1"/>
  <c r="E294" i="33" s="1"/>
  <c r="D292" i="33"/>
  <c r="D293" i="33" s="1"/>
  <c r="D294" i="33" s="1"/>
  <c r="E287" i="33"/>
  <c r="E286" i="33"/>
  <c r="E285" i="33"/>
  <c r="G268" i="33"/>
  <c r="G269" i="33" s="1"/>
  <c r="G270" i="33" s="1"/>
  <c r="F268" i="33"/>
  <c r="F269" i="33" s="1"/>
  <c r="F270" i="33" s="1"/>
  <c r="E268" i="33"/>
  <c r="E269" i="33" s="1"/>
  <c r="E270" i="33" s="1"/>
  <c r="D268" i="33"/>
  <c r="D269" i="33" s="1"/>
  <c r="D270" i="33" s="1"/>
  <c r="G262" i="33"/>
  <c r="F262" i="33"/>
  <c r="E262" i="33"/>
  <c r="G261" i="33"/>
  <c r="F261" i="33"/>
  <c r="E261" i="33"/>
  <c r="G260" i="33"/>
  <c r="G263" i="33" s="1"/>
  <c r="F260" i="33"/>
  <c r="E260" i="33"/>
  <c r="E263" i="33" s="1"/>
  <c r="D260" i="33"/>
  <c r="G243" i="33"/>
  <c r="G244" i="33" s="1"/>
  <c r="G245" i="33" s="1"/>
  <c r="F243" i="33"/>
  <c r="F244" i="33" s="1"/>
  <c r="F245" i="33" s="1"/>
  <c r="E243" i="33"/>
  <c r="E244" i="33" s="1"/>
  <c r="E245" i="33" s="1"/>
  <c r="D243" i="33"/>
  <c r="D244" i="33" s="1"/>
  <c r="D245" i="33" s="1"/>
  <c r="E238" i="33"/>
  <c r="G237" i="33"/>
  <c r="F237" i="33"/>
  <c r="E237" i="33"/>
  <c r="G236" i="33"/>
  <c r="F236" i="33"/>
  <c r="E236" i="33"/>
  <c r="G235" i="33"/>
  <c r="F235" i="33"/>
  <c r="F238" i="33" s="1"/>
  <c r="E235" i="33"/>
  <c r="D235" i="33"/>
  <c r="G225" i="33"/>
  <c r="G226" i="33" s="1"/>
  <c r="G227" i="33" s="1"/>
  <c r="F225" i="33"/>
  <c r="F226" i="33" s="1"/>
  <c r="F227" i="33" s="1"/>
  <c r="E225" i="33"/>
  <c r="E226" i="33" s="1"/>
  <c r="E227" i="33" s="1"/>
  <c r="D225" i="33"/>
  <c r="D226" i="33" s="1"/>
  <c r="D227" i="33" s="1"/>
  <c r="G219" i="33"/>
  <c r="F219" i="33"/>
  <c r="E219" i="33"/>
  <c r="G218" i="33"/>
  <c r="F218" i="33"/>
  <c r="E218" i="33"/>
  <c r="G217" i="33"/>
  <c r="F217" i="33"/>
  <c r="F220" i="33" s="1"/>
  <c r="E217" i="33"/>
  <c r="D217" i="33"/>
  <c r="G207" i="33"/>
  <c r="F207" i="33"/>
  <c r="E207" i="33"/>
  <c r="D207" i="33"/>
  <c r="D341" i="33" s="1"/>
  <c r="J348" i="33" s="1"/>
  <c r="F202" i="33"/>
  <c r="G201" i="33"/>
  <c r="F201" i="33"/>
  <c r="E201" i="33"/>
  <c r="G200" i="33"/>
  <c r="F200" i="33"/>
  <c r="E200" i="33"/>
  <c r="G187" i="33"/>
  <c r="G189" i="33" s="1"/>
  <c r="F187" i="33"/>
  <c r="F189" i="33" s="1"/>
  <c r="E187" i="33"/>
  <c r="E189" i="33" s="1"/>
  <c r="D187" i="33"/>
  <c r="D189" i="33" s="1"/>
  <c r="E182" i="33"/>
  <c r="E183" i="33" s="1"/>
  <c r="G176" i="33"/>
  <c r="G182" i="33" s="1"/>
  <c r="G183" i="33" s="1"/>
  <c r="F176" i="33"/>
  <c r="F327" i="33" s="1"/>
  <c r="E176" i="33"/>
  <c r="E327" i="33" s="1"/>
  <c r="D176" i="33"/>
  <c r="G170" i="33"/>
  <c r="F170" i="33"/>
  <c r="E170" i="33"/>
  <c r="G169" i="33"/>
  <c r="F169" i="33"/>
  <c r="E169" i="33"/>
  <c r="G168" i="33"/>
  <c r="G171" i="33" s="1"/>
  <c r="F168" i="33"/>
  <c r="E168" i="33"/>
  <c r="D168" i="33"/>
  <c r="F145" i="33"/>
  <c r="F150" i="33" s="1"/>
  <c r="F151" i="33" s="1"/>
  <c r="E145" i="33"/>
  <c r="E150" i="33" s="1"/>
  <c r="E151" i="33" s="1"/>
  <c r="D145" i="33"/>
  <c r="D150" i="33" s="1"/>
  <c r="D151" i="33" s="1"/>
  <c r="G139" i="33"/>
  <c r="F139" i="33"/>
  <c r="E139" i="33"/>
  <c r="E138" i="33"/>
  <c r="G137" i="33"/>
  <c r="F137" i="33"/>
  <c r="E137" i="33"/>
  <c r="G138" i="33"/>
  <c r="F138" i="33"/>
  <c r="G126" i="33"/>
  <c r="G337" i="33" s="1"/>
  <c r="G338" i="33" s="1"/>
  <c r="F126" i="33"/>
  <c r="F337" i="33" s="1"/>
  <c r="E126" i="33"/>
  <c r="E337" i="33" s="1"/>
  <c r="D126" i="33"/>
  <c r="D337" i="33" s="1"/>
  <c r="G115" i="33"/>
  <c r="F115" i="33"/>
  <c r="E115" i="33"/>
  <c r="G114" i="33"/>
  <c r="F114" i="33"/>
  <c r="E114" i="33"/>
  <c r="G113" i="33"/>
  <c r="F113" i="33"/>
  <c r="F116" i="33" s="1"/>
  <c r="E113" i="33"/>
  <c r="E116" i="33" s="1"/>
  <c r="D113" i="33"/>
  <c r="G99" i="33"/>
  <c r="G104" i="33" s="1"/>
  <c r="G105" i="33" s="1"/>
  <c r="F99" i="33"/>
  <c r="F104" i="33" s="1"/>
  <c r="F105" i="33" s="1"/>
  <c r="E99" i="33"/>
  <c r="E104" i="33" s="1"/>
  <c r="E105" i="33" s="1"/>
  <c r="D99" i="33"/>
  <c r="D104" i="33" s="1"/>
  <c r="D105" i="33" s="1"/>
  <c r="G93" i="33"/>
  <c r="F93" i="33"/>
  <c r="E93" i="33"/>
  <c r="G92" i="33"/>
  <c r="F92" i="33"/>
  <c r="E92" i="33"/>
  <c r="G91" i="33"/>
  <c r="F91" i="33"/>
  <c r="E91" i="33"/>
  <c r="G76" i="33"/>
  <c r="G81" i="33" s="1"/>
  <c r="G82" i="33" s="1"/>
  <c r="F76" i="33"/>
  <c r="F81" i="33" s="1"/>
  <c r="F82" i="33" s="1"/>
  <c r="E76" i="33"/>
  <c r="E81" i="33" s="1"/>
  <c r="E82" i="33" s="1"/>
  <c r="D76" i="33"/>
  <c r="D81" i="33" s="1"/>
  <c r="D82" i="33" s="1"/>
  <c r="G69" i="33"/>
  <c r="F69" i="33"/>
  <c r="E69" i="33"/>
  <c r="G68" i="33"/>
  <c r="F68" i="33"/>
  <c r="E68" i="33"/>
  <c r="G67" i="33"/>
  <c r="G70" i="33" s="1"/>
  <c r="F67" i="33"/>
  <c r="F70" i="33" s="1"/>
  <c r="E67" i="33"/>
  <c r="D67" i="33"/>
  <c r="F329" i="33"/>
  <c r="E51" i="33"/>
  <c r="D46" i="33"/>
  <c r="G38" i="33"/>
  <c r="F38" i="33"/>
  <c r="E38" i="33"/>
  <c r="F322" i="33"/>
  <c r="E37" i="33"/>
  <c r="D36" i="33"/>
  <c r="D37" i="33" s="1"/>
  <c r="G24" i="33"/>
  <c r="G27" i="33" s="1"/>
  <c r="F24" i="33"/>
  <c r="F23" i="33" s="1"/>
  <c r="E24" i="33"/>
  <c r="E27" i="33" s="1"/>
  <c r="G169" i="14"/>
  <c r="G49" i="32" s="1"/>
  <c r="F169" i="14"/>
  <c r="E169" i="14"/>
  <c r="D197" i="14"/>
  <c r="D198" i="14" s="1"/>
  <c r="E160" i="32"/>
  <c r="F160" i="32"/>
  <c r="G160" i="32"/>
  <c r="D160" i="32"/>
  <c r="D156" i="32"/>
  <c r="E137" i="32"/>
  <c r="F137" i="32"/>
  <c r="G137" i="32"/>
  <c r="E138" i="32"/>
  <c r="F138" i="32"/>
  <c r="F147" i="32" s="1"/>
  <c r="G138" i="32"/>
  <c r="D137" i="32"/>
  <c r="D138" i="32"/>
  <c r="D147" i="32" s="1"/>
  <c r="D148" i="32" s="1"/>
  <c r="D149" i="32" s="1"/>
  <c r="E118" i="32"/>
  <c r="F118" i="32"/>
  <c r="G118" i="32"/>
  <c r="D118" i="32"/>
  <c r="F119" i="32"/>
  <c r="F128" i="32" s="1"/>
  <c r="F129" i="32" s="1"/>
  <c r="F131" i="32" s="1"/>
  <c r="G119" i="32"/>
  <c r="E98" i="32"/>
  <c r="F98" i="32"/>
  <c r="G98" i="32"/>
  <c r="D98" i="32"/>
  <c r="E99" i="32"/>
  <c r="E100" i="32" s="1"/>
  <c r="F99" i="32"/>
  <c r="G99" i="32"/>
  <c r="G100" i="32" s="1"/>
  <c r="D99" i="32"/>
  <c r="E368" i="31"/>
  <c r="F368" i="31"/>
  <c r="G368" i="31"/>
  <c r="E317" i="31"/>
  <c r="F317" i="31"/>
  <c r="G317" i="31"/>
  <c r="E297" i="31"/>
  <c r="E252" i="31"/>
  <c r="F252" i="31"/>
  <c r="G252" i="31"/>
  <c r="D252" i="31"/>
  <c r="E218" i="31"/>
  <c r="F218" i="31"/>
  <c r="G218" i="31"/>
  <c r="D218" i="31"/>
  <c r="F177" i="31"/>
  <c r="E176" i="31"/>
  <c r="E177" i="31" s="1"/>
  <c r="F176" i="31"/>
  <c r="G176" i="31"/>
  <c r="G177" i="31" s="1"/>
  <c r="E129" i="31"/>
  <c r="F129" i="31"/>
  <c r="G129" i="31"/>
  <c r="D129" i="31"/>
  <c r="E113" i="31"/>
  <c r="E114" i="31" s="1"/>
  <c r="F113" i="31"/>
  <c r="F114" i="31" s="1"/>
  <c r="G113" i="31"/>
  <c r="G114" i="31"/>
  <c r="D113" i="31"/>
  <c r="D114" i="31" s="1"/>
  <c r="E99" i="31"/>
  <c r="F99" i="31"/>
  <c r="G99" i="31"/>
  <c r="D99" i="31"/>
  <c r="G91" i="31"/>
  <c r="E85" i="31"/>
  <c r="E90" i="31" s="1"/>
  <c r="E91" i="31" s="1"/>
  <c r="F85" i="31"/>
  <c r="F90" i="31" s="1"/>
  <c r="F91" i="31" s="1"/>
  <c r="G85" i="31"/>
  <c r="G90" i="31" s="1"/>
  <c r="D85" i="31"/>
  <c r="E76" i="31"/>
  <c r="F76" i="31"/>
  <c r="G76" i="31"/>
  <c r="D76" i="31"/>
  <c r="E41" i="31"/>
  <c r="F41" i="31"/>
  <c r="G41" i="31"/>
  <c r="D41" i="31"/>
  <c r="F39" i="32"/>
  <c r="F40" i="32" s="1"/>
  <c r="E72" i="32"/>
  <c r="E73" i="32" s="1"/>
  <c r="E76" i="32" s="1"/>
  <c r="F72" i="32"/>
  <c r="F73" i="32" s="1"/>
  <c r="G72" i="32"/>
  <c r="G73" i="32" s="1"/>
  <c r="D72" i="32"/>
  <c r="D82" i="32" s="1"/>
  <c r="D89" i="32" s="1"/>
  <c r="D90" i="32" s="1"/>
  <c r="E49" i="32"/>
  <c r="D38" i="32"/>
  <c r="E41" i="32" s="1"/>
  <c r="E39" i="32"/>
  <c r="E40" i="32" s="1"/>
  <c r="G39" i="32"/>
  <c r="D39" i="32"/>
  <c r="E97" i="14"/>
  <c r="G160" i="14"/>
  <c r="F160" i="14"/>
  <c r="E160" i="14"/>
  <c r="F183" i="14"/>
  <c r="G183" i="14"/>
  <c r="E183" i="14"/>
  <c r="G216" i="14"/>
  <c r="F216" i="14"/>
  <c r="E216" i="14"/>
  <c r="F246" i="14"/>
  <c r="G246" i="14"/>
  <c r="E246" i="14"/>
  <c r="D246" i="14"/>
  <c r="G271" i="14"/>
  <c r="F271" i="14"/>
  <c r="E271" i="14"/>
  <c r="D271" i="14"/>
  <c r="G291" i="14"/>
  <c r="F291" i="14"/>
  <c r="E291" i="14"/>
  <c r="D291" i="14"/>
  <c r="G311" i="14"/>
  <c r="F311" i="14"/>
  <c r="G330" i="14"/>
  <c r="F330" i="14"/>
  <c r="E330" i="14"/>
  <c r="E349" i="14"/>
  <c r="F349" i="14"/>
  <c r="G349" i="14"/>
  <c r="D349" i="14"/>
  <c r="D216" i="14"/>
  <c r="D39" i="14"/>
  <c r="E74" i="14"/>
  <c r="F74" i="14"/>
  <c r="G74" i="14"/>
  <c r="D74" i="14"/>
  <c r="H153" i="32"/>
  <c r="K152" i="32"/>
  <c r="J152" i="32"/>
  <c r="I152" i="32"/>
  <c r="H152" i="32"/>
  <c r="K151" i="32"/>
  <c r="J151" i="32"/>
  <c r="J156" i="32" s="1"/>
  <c r="I151" i="32"/>
  <c r="I156" i="32" s="1"/>
  <c r="H151" i="32"/>
  <c r="G148" i="32"/>
  <c r="G149" i="32" s="1"/>
  <c r="F148" i="32"/>
  <c r="F149" i="32" s="1"/>
  <c r="G147" i="32"/>
  <c r="G141" i="32"/>
  <c r="J140" i="32"/>
  <c r="I140" i="32"/>
  <c r="H140" i="32"/>
  <c r="G140" i="32"/>
  <c r="F140" i="32"/>
  <c r="J139" i="32"/>
  <c r="I139" i="32"/>
  <c r="H139" i="32"/>
  <c r="F139" i="32"/>
  <c r="J121" i="32"/>
  <c r="I121" i="32"/>
  <c r="H121" i="32"/>
  <c r="F121" i="32"/>
  <c r="J120" i="32"/>
  <c r="I120" i="32"/>
  <c r="H120" i="32"/>
  <c r="G120" i="32"/>
  <c r="F120" i="32"/>
  <c r="F108" i="32"/>
  <c r="F170" i="32" s="1"/>
  <c r="E108" i="32"/>
  <c r="G102" i="32"/>
  <c r="F100" i="32"/>
  <c r="I82" i="32"/>
  <c r="G74" i="32"/>
  <c r="F74" i="32"/>
  <c r="E74" i="32"/>
  <c r="E62" i="32"/>
  <c r="F62" i="32" s="1"/>
  <c r="G60" i="32"/>
  <c r="F60" i="32"/>
  <c r="E60" i="32"/>
  <c r="D60" i="32"/>
  <c r="D58" i="32"/>
  <c r="M49" i="32"/>
  <c r="L49" i="32"/>
  <c r="K49" i="32"/>
  <c r="M48" i="32"/>
  <c r="L48" i="32"/>
  <c r="K48" i="32"/>
  <c r="M47" i="32"/>
  <c r="L47" i="32"/>
  <c r="K47" i="32"/>
  <c r="J46" i="32"/>
  <c r="M46" i="32" s="1"/>
  <c r="I46" i="32"/>
  <c r="L46" i="32" s="1"/>
  <c r="H46" i="32"/>
  <c r="K46" i="32" s="1"/>
  <c r="G41" i="32"/>
  <c r="F41" i="32"/>
  <c r="G18" i="32"/>
  <c r="F18" i="32"/>
  <c r="E18" i="32"/>
  <c r="D18" i="32"/>
  <c r="G13" i="32"/>
  <c r="F13" i="32"/>
  <c r="E13" i="32"/>
  <c r="D13" i="32"/>
  <c r="J336" i="31"/>
  <c r="J337" i="31"/>
  <c r="I336" i="31"/>
  <c r="I337" i="31"/>
  <c r="H337" i="31"/>
  <c r="H336" i="31"/>
  <c r="G108" i="32" l="1"/>
  <c r="F111" i="34"/>
  <c r="D127" i="34"/>
  <c r="F102" i="32"/>
  <c r="F101" i="32"/>
  <c r="E121" i="32"/>
  <c r="E102" i="32"/>
  <c r="E101" i="32"/>
  <c r="D158" i="32"/>
  <c r="H157" i="32" s="1"/>
  <c r="F190" i="24"/>
  <c r="E148" i="32"/>
  <c r="E149" i="32" s="1"/>
  <c r="E147" i="32"/>
  <c r="E23" i="33"/>
  <c r="H33" i="34"/>
  <c r="G116" i="33"/>
  <c r="E171" i="33"/>
  <c r="F51" i="34"/>
  <c r="G54" i="34" s="1"/>
  <c r="G53" i="34"/>
  <c r="E109" i="34"/>
  <c r="E128" i="34"/>
  <c r="D190" i="24"/>
  <c r="N354" i="33"/>
  <c r="M354" i="33"/>
  <c r="D182" i="33"/>
  <c r="D183" i="33" s="1"/>
  <c r="D327" i="33"/>
  <c r="F341" i="33"/>
  <c r="I41" i="33"/>
  <c r="F64" i="34"/>
  <c r="F67" i="34" s="1"/>
  <c r="F68" i="34" s="1"/>
  <c r="F128" i="34"/>
  <c r="F135" i="34"/>
  <c r="F136" i="34" s="1"/>
  <c r="F137" i="34" s="1"/>
  <c r="E146" i="34"/>
  <c r="C59" i="24"/>
  <c r="C60" i="24" s="1"/>
  <c r="J49" i="24"/>
  <c r="I357" i="33"/>
  <c r="I362" i="33" s="1"/>
  <c r="G111" i="34"/>
  <c r="G109" i="34"/>
  <c r="G112" i="34" s="1"/>
  <c r="G40" i="32"/>
  <c r="G43" i="32" s="1"/>
  <c r="G151" i="32"/>
  <c r="F27" i="33"/>
  <c r="F263" i="33"/>
  <c r="G166" i="23"/>
  <c r="D59" i="24"/>
  <c r="D60" i="24" s="1"/>
  <c r="J357" i="33"/>
  <c r="J359" i="33" s="1"/>
  <c r="G135" i="34"/>
  <c r="G136" i="34" s="1"/>
  <c r="G137" i="34" s="1"/>
  <c r="G127" i="34"/>
  <c r="G130" i="34" s="1"/>
  <c r="G101" i="32"/>
  <c r="G122" i="32"/>
  <c r="G121" i="32"/>
  <c r="E140" i="32"/>
  <c r="G139" i="32"/>
  <c r="D329" i="33"/>
  <c r="J336" i="33" s="1"/>
  <c r="E70" i="33"/>
  <c r="F338" i="33"/>
  <c r="F171" i="33"/>
  <c r="E341" i="33"/>
  <c r="E342" i="33" s="1"/>
  <c r="E220" i="33"/>
  <c r="J335" i="33"/>
  <c r="L346" i="33"/>
  <c r="K357" i="33"/>
  <c r="K358" i="33" s="1"/>
  <c r="E53" i="34"/>
  <c r="E64" i="34"/>
  <c r="E174" i="34" s="1"/>
  <c r="E175" i="34" s="1"/>
  <c r="F53" i="34"/>
  <c r="E111" i="34"/>
  <c r="E117" i="34"/>
  <c r="E118" i="34" s="1"/>
  <c r="E119" i="34" s="1"/>
  <c r="E129" i="34"/>
  <c r="E127" i="34"/>
  <c r="E130" i="34" s="1"/>
  <c r="K359" i="33"/>
  <c r="K362" i="33"/>
  <c r="I359" i="33"/>
  <c r="J360" i="33"/>
  <c r="J362" i="33"/>
  <c r="J358" i="33"/>
  <c r="N357" i="33"/>
  <c r="L362" i="33"/>
  <c r="L358" i="33"/>
  <c r="P357" i="33"/>
  <c r="L360" i="33"/>
  <c r="L359" i="33"/>
  <c r="M352" i="33"/>
  <c r="N352" i="33"/>
  <c r="M353" i="33"/>
  <c r="O352" i="33"/>
  <c r="O354" i="33"/>
  <c r="P352" i="33"/>
  <c r="E60" i="24"/>
  <c r="E41" i="24"/>
  <c r="F59" i="24"/>
  <c r="D96" i="24"/>
  <c r="E54" i="34"/>
  <c r="L183" i="34"/>
  <c r="F31" i="34"/>
  <c r="F14" i="34"/>
  <c r="G14" i="34"/>
  <c r="J183" i="34"/>
  <c r="E112" i="34"/>
  <c r="D164" i="34"/>
  <c r="J172" i="34" s="1"/>
  <c r="M172" i="34"/>
  <c r="D28" i="34"/>
  <c r="F112" i="34"/>
  <c r="E31" i="34"/>
  <c r="J32" i="34"/>
  <c r="I33" i="34"/>
  <c r="E14" i="34"/>
  <c r="D67" i="34"/>
  <c r="D68" i="34" s="1"/>
  <c r="E164" i="34"/>
  <c r="G174" i="34"/>
  <c r="G28" i="34"/>
  <c r="G31" i="34" s="1"/>
  <c r="F118" i="34"/>
  <c r="F119" i="34" s="1"/>
  <c r="F164" i="34"/>
  <c r="G165" i="34" s="1"/>
  <c r="G238" i="33"/>
  <c r="G341" i="33"/>
  <c r="G342" i="33" s="1"/>
  <c r="G220" i="33"/>
  <c r="M335" i="33"/>
  <c r="E52" i="33"/>
  <c r="E40" i="33"/>
  <c r="L336" i="33"/>
  <c r="E338" i="33"/>
  <c r="K335" i="33"/>
  <c r="E328" i="33"/>
  <c r="M348" i="33"/>
  <c r="L335" i="33"/>
  <c r="F328" i="33"/>
  <c r="G328" i="33"/>
  <c r="F343" i="33"/>
  <c r="F37" i="33"/>
  <c r="G208" i="33"/>
  <c r="G209" i="33" s="1"/>
  <c r="G322" i="33"/>
  <c r="E329" i="33"/>
  <c r="E343" i="33" s="1"/>
  <c r="E39" i="33"/>
  <c r="F51" i="33"/>
  <c r="G127" i="33"/>
  <c r="G128" i="33" s="1"/>
  <c r="G145" i="33"/>
  <c r="G150" i="33" s="1"/>
  <c r="G151" i="33" s="1"/>
  <c r="F182" i="33"/>
  <c r="F183" i="33" s="1"/>
  <c r="D208" i="33"/>
  <c r="D209" i="33" s="1"/>
  <c r="D322" i="33"/>
  <c r="D343" i="33"/>
  <c r="F127" i="33"/>
  <c r="F128" i="33" s="1"/>
  <c r="F39" i="33"/>
  <c r="G51" i="33"/>
  <c r="D127" i="33"/>
  <c r="D128" i="33" s="1"/>
  <c r="E208" i="33"/>
  <c r="E209" i="33" s="1"/>
  <c r="E322" i="33"/>
  <c r="G39" i="33"/>
  <c r="D51" i="33"/>
  <c r="E127" i="33"/>
  <c r="E128" i="33" s="1"/>
  <c r="F208" i="33"/>
  <c r="F209" i="33" s="1"/>
  <c r="F151" i="32"/>
  <c r="D100" i="32"/>
  <c r="E103" i="32" s="1"/>
  <c r="E139" i="32"/>
  <c r="F142" i="32" s="1"/>
  <c r="E141" i="32"/>
  <c r="F141" i="32"/>
  <c r="D108" i="32"/>
  <c r="G128" i="32"/>
  <c r="J82" i="32"/>
  <c r="D139" i="32"/>
  <c r="G75" i="32"/>
  <c r="F82" i="32"/>
  <c r="G82" i="32"/>
  <c r="G89" i="32" s="1"/>
  <c r="G90" i="32" s="1"/>
  <c r="F75" i="32"/>
  <c r="H82" i="32"/>
  <c r="E75" i="32"/>
  <c r="E82" i="32"/>
  <c r="E89" i="32" s="1"/>
  <c r="E90" i="32" s="1"/>
  <c r="G42" i="32"/>
  <c r="E42" i="32"/>
  <c r="F43" i="32"/>
  <c r="F42" i="32"/>
  <c r="F103" i="32"/>
  <c r="G123" i="32"/>
  <c r="E43" i="32"/>
  <c r="G103" i="32"/>
  <c r="F58" i="32"/>
  <c r="G62" i="32"/>
  <c r="G58" i="32" s="1"/>
  <c r="E58" i="32"/>
  <c r="K156" i="32"/>
  <c r="F109" i="32"/>
  <c r="G109" i="32"/>
  <c r="H156" i="32"/>
  <c r="G142" i="32"/>
  <c r="E109" i="32"/>
  <c r="I227" i="31"/>
  <c r="J227" i="31"/>
  <c r="H227" i="31"/>
  <c r="M168" i="31"/>
  <c r="L169" i="31"/>
  <c r="M169" i="31"/>
  <c r="L170" i="31"/>
  <c r="M170" i="31"/>
  <c r="L171" i="31"/>
  <c r="M171" i="31"/>
  <c r="K169" i="31"/>
  <c r="K170" i="31"/>
  <c r="K171" i="31"/>
  <c r="K168" i="31"/>
  <c r="I168" i="31"/>
  <c r="L168" i="31" s="1"/>
  <c r="J168" i="31"/>
  <c r="H168" i="31"/>
  <c r="G385" i="31"/>
  <c r="F385" i="31"/>
  <c r="E385" i="31"/>
  <c r="D385" i="31"/>
  <c r="E383" i="31"/>
  <c r="G381" i="31"/>
  <c r="F381" i="31"/>
  <c r="E381" i="31"/>
  <c r="D381" i="31"/>
  <c r="G379" i="31"/>
  <c r="F379" i="31"/>
  <c r="E379" i="31"/>
  <c r="D379" i="31"/>
  <c r="G377" i="31"/>
  <c r="F377" i="31"/>
  <c r="E377" i="31"/>
  <c r="D377" i="31"/>
  <c r="G373" i="31"/>
  <c r="G371" i="31"/>
  <c r="E366" i="31"/>
  <c r="G364" i="31"/>
  <c r="G366" i="31" s="1"/>
  <c r="F364" i="31"/>
  <c r="F366" i="31" s="1"/>
  <c r="E364" i="31"/>
  <c r="G363" i="31"/>
  <c r="F363" i="31"/>
  <c r="E363" i="31"/>
  <c r="D363" i="31"/>
  <c r="D364" i="31" s="1"/>
  <c r="D366" i="31" s="1"/>
  <c r="G358" i="31"/>
  <c r="F358" i="31"/>
  <c r="E358" i="31"/>
  <c r="G357" i="31"/>
  <c r="F357" i="31"/>
  <c r="E357" i="31"/>
  <c r="G356" i="31"/>
  <c r="F356" i="31"/>
  <c r="E356" i="31"/>
  <c r="G345" i="31"/>
  <c r="G347" i="31" s="1"/>
  <c r="F345" i="31"/>
  <c r="F347" i="31" s="1"/>
  <c r="E345" i="31"/>
  <c r="E347" i="31" s="1"/>
  <c r="G344" i="31"/>
  <c r="F344" i="31"/>
  <c r="E344" i="31"/>
  <c r="D344" i="31"/>
  <c r="D345" i="31" s="1"/>
  <c r="D347" i="31" s="1"/>
  <c r="G338" i="31"/>
  <c r="F338" i="31"/>
  <c r="E338" i="31"/>
  <c r="G337" i="31"/>
  <c r="F337" i="31"/>
  <c r="E337" i="31"/>
  <c r="G336" i="31"/>
  <c r="F336" i="31"/>
  <c r="E336" i="31"/>
  <c r="D336" i="31"/>
  <c r="G325" i="31"/>
  <c r="G326" i="31" s="1"/>
  <c r="F325" i="31"/>
  <c r="F326" i="31" s="1"/>
  <c r="E325" i="31"/>
  <c r="E326" i="31" s="1"/>
  <c r="G319" i="31"/>
  <c r="F319" i="31"/>
  <c r="G318" i="31"/>
  <c r="F318" i="31"/>
  <c r="E318" i="31"/>
  <c r="G320" i="31"/>
  <c r="D316" i="31"/>
  <c r="G305" i="31"/>
  <c r="G306" i="31" s="1"/>
  <c r="F305" i="31"/>
  <c r="F306" i="31" s="1"/>
  <c r="E305" i="31"/>
  <c r="E306" i="31" s="1"/>
  <c r="D305" i="31"/>
  <c r="D306" i="31" s="1"/>
  <c r="G299" i="31"/>
  <c r="F299" i="31"/>
  <c r="E299" i="31"/>
  <c r="G298" i="31"/>
  <c r="F298" i="31"/>
  <c r="E298" i="31"/>
  <c r="G297" i="31"/>
  <c r="F297" i="31"/>
  <c r="F300" i="31" s="1"/>
  <c r="D297" i="31"/>
  <c r="E300" i="31" s="1"/>
  <c r="G286" i="31"/>
  <c r="F286" i="31"/>
  <c r="E286" i="31"/>
  <c r="D285" i="31"/>
  <c r="D286" i="31" s="1"/>
  <c r="G280" i="31"/>
  <c r="F280" i="31"/>
  <c r="E280" i="31"/>
  <c r="G279" i="31"/>
  <c r="F279" i="31"/>
  <c r="E279" i="31"/>
  <c r="G278" i="31"/>
  <c r="F278" i="31"/>
  <c r="E278" i="31"/>
  <c r="E261" i="31"/>
  <c r="E266" i="31" s="1"/>
  <c r="E267" i="31" s="1"/>
  <c r="D261" i="31"/>
  <c r="D266" i="31" s="1"/>
  <c r="D267" i="31" s="1"/>
  <c r="F254" i="31"/>
  <c r="E254" i="31"/>
  <c r="G253" i="31"/>
  <c r="F253" i="31"/>
  <c r="E253" i="31"/>
  <c r="G254" i="31"/>
  <c r="F261" i="31"/>
  <c r="F266" i="31" s="1"/>
  <c r="F267" i="31" s="1"/>
  <c r="G227" i="31"/>
  <c r="G232" i="31" s="1"/>
  <c r="G233" i="31" s="1"/>
  <c r="F227" i="31"/>
  <c r="F232" i="31" s="1"/>
  <c r="F233" i="31" s="1"/>
  <c r="E227" i="31"/>
  <c r="E232" i="31" s="1"/>
  <c r="E233" i="31" s="1"/>
  <c r="D227" i="31"/>
  <c r="D232" i="31" s="1"/>
  <c r="D233" i="31" s="1"/>
  <c r="G220" i="31"/>
  <c r="F220" i="31"/>
  <c r="E220" i="31"/>
  <c r="G219" i="31"/>
  <c r="F219" i="31"/>
  <c r="E219" i="31"/>
  <c r="E221" i="31"/>
  <c r="F207" i="31"/>
  <c r="E207" i="31"/>
  <c r="G205" i="31"/>
  <c r="F205" i="31"/>
  <c r="E205" i="31"/>
  <c r="D205" i="31"/>
  <c r="E203" i="31"/>
  <c r="D203" i="31"/>
  <c r="G199" i="31"/>
  <c r="G200" i="31" s="1"/>
  <c r="F199" i="31"/>
  <c r="F200" i="31" s="1"/>
  <c r="E199" i="31"/>
  <c r="E200" i="31" s="1"/>
  <c r="D199" i="31"/>
  <c r="D200" i="31" s="1"/>
  <c r="G187" i="31"/>
  <c r="F187" i="31"/>
  <c r="E187" i="31"/>
  <c r="E185" i="31"/>
  <c r="E188" i="31" s="1"/>
  <c r="F373" i="31"/>
  <c r="E373" i="31"/>
  <c r="D170" i="31"/>
  <c r="D373" i="31" s="1"/>
  <c r="F371" i="31"/>
  <c r="D169" i="31"/>
  <c r="G164" i="31"/>
  <c r="F164" i="31"/>
  <c r="E164" i="31"/>
  <c r="G163" i="31"/>
  <c r="F163" i="31"/>
  <c r="E163" i="31"/>
  <c r="E162" i="31"/>
  <c r="F162" i="31" s="1"/>
  <c r="G142" i="31"/>
  <c r="G383" i="31" s="1"/>
  <c r="F142" i="31"/>
  <c r="F383" i="31" s="1"/>
  <c r="E142" i="31"/>
  <c r="E143" i="31" s="1"/>
  <c r="E144" i="31" s="1"/>
  <c r="D142" i="31"/>
  <c r="D143" i="31" s="1"/>
  <c r="D144" i="31" s="1"/>
  <c r="E132" i="31"/>
  <c r="G131" i="31"/>
  <c r="F131" i="31"/>
  <c r="E131" i="31"/>
  <c r="G130" i="31"/>
  <c r="F130" i="31"/>
  <c r="E130" i="31"/>
  <c r="F132" i="31"/>
  <c r="E119" i="31"/>
  <c r="D117" i="31"/>
  <c r="G101" i="31"/>
  <c r="F101" i="31"/>
  <c r="E101" i="31"/>
  <c r="G100" i="31"/>
  <c r="F100" i="31"/>
  <c r="E100" i="31"/>
  <c r="G102" i="31"/>
  <c r="D90" i="31"/>
  <c r="D91" i="31" s="1"/>
  <c r="G78" i="31"/>
  <c r="F78" i="31"/>
  <c r="E78" i="31"/>
  <c r="G77" i="31"/>
  <c r="F77" i="31"/>
  <c r="E77" i="31"/>
  <c r="G60" i="31"/>
  <c r="F60" i="31"/>
  <c r="E60" i="31"/>
  <c r="D60" i="31"/>
  <c r="D50" i="31"/>
  <c r="D55" i="31" s="1"/>
  <c r="E44" i="31"/>
  <c r="G42" i="31"/>
  <c r="F42" i="31"/>
  <c r="E42" i="31"/>
  <c r="E43" i="31"/>
  <c r="G29" i="31"/>
  <c r="F29" i="31"/>
  <c r="E29" i="31"/>
  <c r="D29" i="31"/>
  <c r="G22" i="31"/>
  <c r="F22" i="31"/>
  <c r="E22" i="31"/>
  <c r="D22" i="31"/>
  <c r="G17" i="31"/>
  <c r="F17" i="31"/>
  <c r="E17" i="31"/>
  <c r="D17" i="31"/>
  <c r="E143" i="30"/>
  <c r="E168" i="30" s="1"/>
  <c r="E166" i="30"/>
  <c r="F166" i="30"/>
  <c r="G166" i="30"/>
  <c r="D166" i="30"/>
  <c r="F164" i="30"/>
  <c r="E160" i="30"/>
  <c r="F160" i="30"/>
  <c r="G160" i="30"/>
  <c r="D160" i="30"/>
  <c r="D156" i="30"/>
  <c r="D153" i="30"/>
  <c r="E21" i="30"/>
  <c r="F21" i="30"/>
  <c r="G21" i="30"/>
  <c r="D21" i="30"/>
  <c r="G89" i="30"/>
  <c r="D89" i="30"/>
  <c r="G92" i="30"/>
  <c r="F92" i="30"/>
  <c r="F89" i="30" s="1"/>
  <c r="E92" i="30"/>
  <c r="E89" i="30" s="1"/>
  <c r="G196" i="30"/>
  <c r="G200" i="30" s="1"/>
  <c r="F196" i="30"/>
  <c r="F200" i="30" s="1"/>
  <c r="E196" i="30"/>
  <c r="E200" i="30" s="1"/>
  <c r="D196" i="30"/>
  <c r="D195" i="30"/>
  <c r="G158" i="30"/>
  <c r="F158" i="30"/>
  <c r="E158" i="30"/>
  <c r="D158" i="30"/>
  <c r="G156" i="30"/>
  <c r="F156" i="30"/>
  <c r="E156" i="30"/>
  <c r="G143" i="30"/>
  <c r="G146" i="30" s="1"/>
  <c r="G147" i="30" s="1"/>
  <c r="F143" i="30"/>
  <c r="F168" i="30" s="1"/>
  <c r="D143" i="30"/>
  <c r="D168" i="30" s="1"/>
  <c r="G132" i="30"/>
  <c r="G131" i="30"/>
  <c r="F131" i="30"/>
  <c r="E131" i="30"/>
  <c r="G130" i="30"/>
  <c r="F130" i="30"/>
  <c r="D130" i="30"/>
  <c r="G119" i="30"/>
  <c r="F119" i="30"/>
  <c r="E119" i="30"/>
  <c r="D111" i="30"/>
  <c r="D112" i="30" s="1"/>
  <c r="D113" i="30" s="1"/>
  <c r="G104" i="30"/>
  <c r="F104" i="30"/>
  <c r="E104" i="30"/>
  <c r="D103" i="30"/>
  <c r="G102" i="30"/>
  <c r="G103" i="30" s="1"/>
  <c r="F102" i="30"/>
  <c r="F111" i="30" s="1"/>
  <c r="E102" i="30"/>
  <c r="G79" i="30"/>
  <c r="G164" i="30" s="1"/>
  <c r="F79" i="30"/>
  <c r="F82" i="30" s="1"/>
  <c r="E79" i="30"/>
  <c r="E82" i="30" s="1"/>
  <c r="E83" i="30" s="1"/>
  <c r="D79" i="30"/>
  <c r="D164" i="30" s="1"/>
  <c r="G70" i="30"/>
  <c r="F70" i="30"/>
  <c r="E70" i="30"/>
  <c r="G69" i="30"/>
  <c r="F69" i="30"/>
  <c r="E69" i="30"/>
  <c r="G68" i="30"/>
  <c r="F68" i="30"/>
  <c r="E68" i="30"/>
  <c r="D68" i="30"/>
  <c r="G54" i="30"/>
  <c r="F54" i="30"/>
  <c r="G47" i="30"/>
  <c r="G48" i="30" s="1"/>
  <c r="F47" i="30"/>
  <c r="F48" i="30" s="1"/>
  <c r="E47" i="30"/>
  <c r="D47" i="30"/>
  <c r="D48" i="30" s="1"/>
  <c r="G35" i="30"/>
  <c r="F35" i="30"/>
  <c r="E35" i="30"/>
  <c r="G34" i="30"/>
  <c r="F34" i="30"/>
  <c r="E34" i="30"/>
  <c r="G33" i="30"/>
  <c r="F33" i="30"/>
  <c r="E33" i="30"/>
  <c r="D33" i="30"/>
  <c r="D144" i="23"/>
  <c r="E144" i="23"/>
  <c r="F144" i="23"/>
  <c r="C144" i="23"/>
  <c r="G95" i="23"/>
  <c r="F102" i="23"/>
  <c r="E102" i="23"/>
  <c r="D102" i="23"/>
  <c r="D103" i="23"/>
  <c r="E67" i="34" l="1"/>
  <c r="E68" i="34" s="1"/>
  <c r="E142" i="32"/>
  <c r="D56" i="31"/>
  <c r="D371" i="31"/>
  <c r="D176" i="31"/>
  <c r="D177" i="31" s="1"/>
  <c r="D368" i="31"/>
  <c r="D317" i="31"/>
  <c r="E320" i="31" s="1"/>
  <c r="D109" i="32"/>
  <c r="E319" i="31"/>
  <c r="D325" i="31"/>
  <c r="D326" i="31" s="1"/>
  <c r="D328" i="31" s="1"/>
  <c r="F174" i="34"/>
  <c r="F175" i="34" s="1"/>
  <c r="F54" i="34"/>
  <c r="F60" i="24"/>
  <c r="M357" i="33"/>
  <c r="I360" i="33"/>
  <c r="J41" i="33"/>
  <c r="I42" i="33"/>
  <c r="F130" i="34"/>
  <c r="P358" i="33"/>
  <c r="I358" i="33"/>
  <c r="O357" i="33"/>
  <c r="K360" i="33"/>
  <c r="F342" i="33"/>
  <c r="G158" i="32"/>
  <c r="F153" i="30"/>
  <c r="E374" i="31"/>
  <c r="F89" i="32"/>
  <c r="F90" i="32" s="1"/>
  <c r="F158" i="32"/>
  <c r="G129" i="32"/>
  <c r="G131" i="32" s="1"/>
  <c r="G170" i="32"/>
  <c r="K158" i="32" s="1"/>
  <c r="L348" i="33"/>
  <c r="K348" i="33"/>
  <c r="E158" i="32"/>
  <c r="L347" i="33"/>
  <c r="F36" i="30"/>
  <c r="E164" i="30"/>
  <c r="E165" i="30" s="1"/>
  <c r="D172" i="30"/>
  <c r="D174" i="30"/>
  <c r="G153" i="30"/>
  <c r="E165" i="34"/>
  <c r="J33" i="34"/>
  <c r="K32" i="34"/>
  <c r="L172" i="34"/>
  <c r="F165" i="34"/>
  <c r="K172" i="34"/>
  <c r="G52" i="33"/>
  <c r="G323" i="33"/>
  <c r="K336" i="33"/>
  <c r="E330" i="33"/>
  <c r="J347" i="33"/>
  <c r="D52" i="33"/>
  <c r="D323" i="33"/>
  <c r="F40" i="33"/>
  <c r="G37" i="33"/>
  <c r="G40" i="33" s="1"/>
  <c r="G329" i="33"/>
  <c r="F323" i="33"/>
  <c r="F52" i="33"/>
  <c r="K347" i="33"/>
  <c r="F330" i="33"/>
  <c r="E323" i="33"/>
  <c r="J83" i="32"/>
  <c r="I83" i="32"/>
  <c r="G300" i="31"/>
  <c r="G328" i="31"/>
  <c r="E328" i="31"/>
  <c r="E369" i="31"/>
  <c r="F328" i="31"/>
  <c r="F255" i="31"/>
  <c r="G255" i="31"/>
  <c r="E255" i="31"/>
  <c r="F384" i="31"/>
  <c r="D383" i="31"/>
  <c r="E384" i="31" s="1"/>
  <c r="D375" i="31"/>
  <c r="H83" i="32"/>
  <c r="J158" i="32"/>
  <c r="F76" i="32"/>
  <c r="G76" i="32"/>
  <c r="J160" i="32"/>
  <c r="E387" i="31"/>
  <c r="F339" i="31"/>
  <c r="G339" i="31"/>
  <c r="F374" i="31"/>
  <c r="F79" i="31"/>
  <c r="G79" i="31"/>
  <c r="F165" i="31"/>
  <c r="G162" i="31"/>
  <c r="G165" i="31" s="1"/>
  <c r="G372" i="31"/>
  <c r="E50" i="31"/>
  <c r="E55" i="31" s="1"/>
  <c r="E56" i="31" s="1"/>
  <c r="E79" i="31"/>
  <c r="G207" i="31"/>
  <c r="G203" i="31" s="1"/>
  <c r="F203" i="31"/>
  <c r="E102" i="31"/>
  <c r="G132" i="31"/>
  <c r="E165" i="31"/>
  <c r="F320" i="31"/>
  <c r="E371" i="31"/>
  <c r="F372" i="31" s="1"/>
  <c r="F387" i="31"/>
  <c r="F102" i="31"/>
  <c r="F119" i="31"/>
  <c r="E117" i="31"/>
  <c r="F185" i="31"/>
  <c r="D387" i="31"/>
  <c r="G387" i="31"/>
  <c r="E339" i="31"/>
  <c r="G374" i="31"/>
  <c r="F143" i="31"/>
  <c r="F144" i="31" s="1"/>
  <c r="G384" i="31"/>
  <c r="F44" i="31"/>
  <c r="G261" i="31"/>
  <c r="G266" i="31" s="1"/>
  <c r="G267" i="31" s="1"/>
  <c r="G143" i="31"/>
  <c r="G144" i="31" s="1"/>
  <c r="G168" i="30"/>
  <c r="E130" i="30"/>
  <c r="E133" i="30" s="1"/>
  <c r="E153" i="30"/>
  <c r="F132" i="30"/>
  <c r="E132" i="30"/>
  <c r="E157" i="30"/>
  <c r="G82" i="30"/>
  <c r="G83" i="30" s="1"/>
  <c r="G133" i="30"/>
  <c r="G71" i="30"/>
  <c r="G36" i="30"/>
  <c r="E71" i="30"/>
  <c r="E167" i="30"/>
  <c r="F169" i="30"/>
  <c r="G157" i="30"/>
  <c r="G159" i="30"/>
  <c r="F167" i="30"/>
  <c r="G111" i="30"/>
  <c r="G112" i="30" s="1"/>
  <c r="D200" i="30"/>
  <c r="F71" i="30"/>
  <c r="F133" i="30"/>
  <c r="F157" i="30"/>
  <c r="F159" i="30"/>
  <c r="E36" i="30"/>
  <c r="F105" i="30"/>
  <c r="E159" i="30"/>
  <c r="F83" i="30"/>
  <c r="F112" i="30"/>
  <c r="E169" i="30"/>
  <c r="G169" i="30"/>
  <c r="E48" i="30"/>
  <c r="D82" i="30"/>
  <c r="D83" i="30" s="1"/>
  <c r="E103" i="30"/>
  <c r="E106" i="30" s="1"/>
  <c r="G105" i="30"/>
  <c r="D146" i="30"/>
  <c r="F103" i="30"/>
  <c r="E111" i="30"/>
  <c r="E146" i="30"/>
  <c r="E105" i="30"/>
  <c r="F146" i="30"/>
  <c r="G175" i="34" l="1"/>
  <c r="J42" i="33"/>
  <c r="K41" i="33"/>
  <c r="D369" i="31"/>
  <c r="G113" i="30"/>
  <c r="G172" i="30"/>
  <c r="G173" i="30" s="1"/>
  <c r="G154" i="30"/>
  <c r="F113" i="30"/>
  <c r="F172" i="30"/>
  <c r="F324" i="33"/>
  <c r="G343" i="33"/>
  <c r="M336" i="33"/>
  <c r="G330" i="33"/>
  <c r="G324" i="33"/>
  <c r="E324" i="33"/>
  <c r="G171" i="32"/>
  <c r="D389" i="31"/>
  <c r="E159" i="32"/>
  <c r="I157" i="32"/>
  <c r="K160" i="32"/>
  <c r="F50" i="31"/>
  <c r="F55" i="31" s="1"/>
  <c r="F43" i="31"/>
  <c r="F221" i="31"/>
  <c r="G221" i="31"/>
  <c r="E388" i="31"/>
  <c r="G44" i="31"/>
  <c r="F188" i="31"/>
  <c r="G185" i="31"/>
  <c r="G188" i="31" s="1"/>
  <c r="F388" i="31"/>
  <c r="E375" i="31"/>
  <c r="G388" i="31"/>
  <c r="G119" i="31"/>
  <c r="G117" i="31" s="1"/>
  <c r="F117" i="31"/>
  <c r="E372" i="31"/>
  <c r="E147" i="30"/>
  <c r="F147" i="30"/>
  <c r="F154" i="30"/>
  <c r="D147" i="30"/>
  <c r="D154" i="30"/>
  <c r="F106" i="30"/>
  <c r="F165" i="30"/>
  <c r="G167" i="30"/>
  <c r="G174" i="30"/>
  <c r="G106" i="30"/>
  <c r="F174" i="30"/>
  <c r="G165" i="30"/>
  <c r="E112" i="30"/>
  <c r="E172" i="30" s="1"/>
  <c r="F56" i="31" l="1"/>
  <c r="F369" i="31"/>
  <c r="E154" i="30"/>
  <c r="M347" i="33"/>
  <c r="F159" i="32"/>
  <c r="J157" i="32"/>
  <c r="E376" i="31"/>
  <c r="F375" i="31"/>
  <c r="E389" i="31"/>
  <c r="G43" i="31"/>
  <c r="G50" i="31"/>
  <c r="G55" i="31" s="1"/>
  <c r="G155" i="30"/>
  <c r="E173" i="30"/>
  <c r="E174" i="30"/>
  <c r="F173" i="30"/>
  <c r="E113" i="30"/>
  <c r="E155" i="30"/>
  <c r="C34" i="29"/>
  <c r="D34" i="29"/>
  <c r="E34" i="29"/>
  <c r="F34" i="29"/>
  <c r="C46" i="29"/>
  <c r="D46" i="29"/>
  <c r="D49" i="29" s="1"/>
  <c r="E46" i="29"/>
  <c r="F46" i="29"/>
  <c r="F49" i="29" s="1"/>
  <c r="D47" i="29"/>
  <c r="E47" i="29"/>
  <c r="F47" i="29"/>
  <c r="D48" i="29"/>
  <c r="E48" i="29"/>
  <c r="F48" i="29"/>
  <c r="E49" i="29"/>
  <c r="C57" i="29"/>
  <c r="C388" i="29" s="1"/>
  <c r="D57" i="29"/>
  <c r="E57" i="29"/>
  <c r="F57" i="29"/>
  <c r="C60" i="29"/>
  <c r="C378" i="29" s="1"/>
  <c r="D379" i="29" s="1"/>
  <c r="D60" i="29"/>
  <c r="E60" i="29"/>
  <c r="E378" i="29" s="1"/>
  <c r="E379" i="29" s="1"/>
  <c r="F60" i="29"/>
  <c r="F378" i="29" s="1"/>
  <c r="F379" i="29" s="1"/>
  <c r="C61" i="29"/>
  <c r="D61" i="29"/>
  <c r="E61" i="29"/>
  <c r="F61" i="29"/>
  <c r="C70" i="29"/>
  <c r="D73" i="29" s="1"/>
  <c r="D70" i="29"/>
  <c r="E70" i="29"/>
  <c r="E73" i="29" s="1"/>
  <c r="F70" i="29"/>
  <c r="D71" i="29"/>
  <c r="E71" i="29"/>
  <c r="F71" i="29"/>
  <c r="D72" i="29"/>
  <c r="E72" i="29"/>
  <c r="F72" i="29"/>
  <c r="F73" i="29"/>
  <c r="C81" i="29"/>
  <c r="D81" i="29"/>
  <c r="E81" i="29"/>
  <c r="F81" i="29"/>
  <c r="C84" i="29"/>
  <c r="D84" i="29"/>
  <c r="E84" i="29"/>
  <c r="F84" i="29"/>
  <c r="C85" i="29"/>
  <c r="D85" i="29"/>
  <c r="E85" i="29"/>
  <c r="F85" i="29"/>
  <c r="C98" i="29"/>
  <c r="D98" i="29"/>
  <c r="E98" i="29"/>
  <c r="F98" i="29"/>
  <c r="F101" i="29" s="1"/>
  <c r="D99" i="29"/>
  <c r="E99" i="29"/>
  <c r="F99" i="29"/>
  <c r="D100" i="29"/>
  <c r="E100" i="29"/>
  <c r="F100" i="29"/>
  <c r="E101" i="29"/>
  <c r="C106" i="29"/>
  <c r="C396" i="29" s="1"/>
  <c r="D106" i="29"/>
  <c r="D396" i="29" s="1"/>
  <c r="D397" i="29" s="1"/>
  <c r="E106" i="29"/>
  <c r="F106" i="29"/>
  <c r="C107" i="29"/>
  <c r="D107" i="29"/>
  <c r="E107" i="29"/>
  <c r="F107" i="29"/>
  <c r="C108" i="29"/>
  <c r="D108" i="29"/>
  <c r="E108" i="29"/>
  <c r="F108" i="29"/>
  <c r="C117" i="29"/>
  <c r="D117" i="29"/>
  <c r="D120" i="29" s="1"/>
  <c r="E117" i="29"/>
  <c r="F117" i="29"/>
  <c r="D118" i="29"/>
  <c r="E118" i="29"/>
  <c r="F118" i="29"/>
  <c r="D119" i="29"/>
  <c r="E119" i="29"/>
  <c r="F119" i="29"/>
  <c r="F120" i="29"/>
  <c r="C128" i="29"/>
  <c r="D128" i="29"/>
  <c r="D388" i="29" s="1"/>
  <c r="E128" i="29"/>
  <c r="F128" i="29"/>
  <c r="C131" i="29"/>
  <c r="D131" i="29"/>
  <c r="E131" i="29"/>
  <c r="F131" i="29"/>
  <c r="C132" i="29"/>
  <c r="D132" i="29"/>
  <c r="E132" i="29"/>
  <c r="F132" i="29"/>
  <c r="C141" i="29"/>
  <c r="D141" i="29"/>
  <c r="D144" i="29" s="1"/>
  <c r="E141" i="29"/>
  <c r="F141" i="29"/>
  <c r="F144" i="29" s="1"/>
  <c r="D142" i="29"/>
  <c r="E142" i="29"/>
  <c r="F142" i="29"/>
  <c r="D143" i="29"/>
  <c r="E143" i="29"/>
  <c r="F143" i="29"/>
  <c r="C152" i="29"/>
  <c r="D152" i="29"/>
  <c r="E152" i="29"/>
  <c r="E388" i="29" s="1"/>
  <c r="F152" i="29"/>
  <c r="C155" i="29"/>
  <c r="D155" i="29"/>
  <c r="D400" i="29" s="1"/>
  <c r="E155" i="29"/>
  <c r="E400" i="29" s="1"/>
  <c r="F155" i="29"/>
  <c r="C156" i="29"/>
  <c r="D156" i="29"/>
  <c r="E156" i="29"/>
  <c r="F156" i="29"/>
  <c r="C169" i="29"/>
  <c r="D169" i="29"/>
  <c r="E169" i="29"/>
  <c r="E172" i="29" s="1"/>
  <c r="F169" i="29"/>
  <c r="D170" i="29"/>
  <c r="E170" i="29"/>
  <c r="F170" i="29"/>
  <c r="D171" i="29"/>
  <c r="E171" i="29"/>
  <c r="F171" i="29"/>
  <c r="D172" i="29"/>
  <c r="C180" i="29"/>
  <c r="D180" i="29"/>
  <c r="E180" i="29"/>
  <c r="F180" i="29"/>
  <c r="C183" i="29"/>
  <c r="D183" i="29"/>
  <c r="E183" i="29"/>
  <c r="F183" i="29"/>
  <c r="C184" i="29"/>
  <c r="D184" i="29"/>
  <c r="E184" i="29"/>
  <c r="F184" i="29"/>
  <c r="C193" i="29"/>
  <c r="D193" i="29"/>
  <c r="D196" i="29" s="1"/>
  <c r="E193" i="29"/>
  <c r="F193" i="29"/>
  <c r="D194" i="29"/>
  <c r="E194" i="29"/>
  <c r="F194" i="29"/>
  <c r="D195" i="29"/>
  <c r="E195" i="29"/>
  <c r="F195" i="29"/>
  <c r="E196" i="29"/>
  <c r="D205" i="29"/>
  <c r="E205" i="29"/>
  <c r="F205" i="29"/>
  <c r="C207" i="29"/>
  <c r="D207" i="29"/>
  <c r="E207" i="29"/>
  <c r="F207" i="29"/>
  <c r="C208" i="29"/>
  <c r="D208" i="29"/>
  <c r="E208" i="29"/>
  <c r="F208" i="29"/>
  <c r="C218" i="29"/>
  <c r="D218" i="29"/>
  <c r="E218" i="29"/>
  <c r="F218" i="29"/>
  <c r="F221" i="29" s="1"/>
  <c r="D219" i="29"/>
  <c r="E219" i="29"/>
  <c r="F219" i="29"/>
  <c r="D220" i="29"/>
  <c r="E220" i="29"/>
  <c r="F220" i="29"/>
  <c r="E221" i="29"/>
  <c r="C229" i="29"/>
  <c r="D229" i="29"/>
  <c r="E229" i="29"/>
  <c r="F229" i="29"/>
  <c r="C232" i="29"/>
  <c r="D232" i="29"/>
  <c r="E232" i="29"/>
  <c r="F232" i="29"/>
  <c r="C233" i="29"/>
  <c r="D233" i="29"/>
  <c r="E233" i="29"/>
  <c r="F233" i="29"/>
  <c r="C243" i="29"/>
  <c r="D243" i="29"/>
  <c r="D246" i="29" s="1"/>
  <c r="E243" i="29"/>
  <c r="F243" i="29"/>
  <c r="D244" i="29"/>
  <c r="E244" i="29"/>
  <c r="F244" i="29"/>
  <c r="D245" i="29"/>
  <c r="E245" i="29"/>
  <c r="F245" i="29"/>
  <c r="F246" i="29"/>
  <c r="C254" i="29"/>
  <c r="D254" i="29"/>
  <c r="E254" i="29"/>
  <c r="F254" i="29"/>
  <c r="C257" i="29"/>
  <c r="D257" i="29"/>
  <c r="E257" i="29"/>
  <c r="F257" i="29"/>
  <c r="C258" i="29"/>
  <c r="D258" i="29"/>
  <c r="E258" i="29"/>
  <c r="F258" i="29"/>
  <c r="C267" i="29"/>
  <c r="D267" i="29"/>
  <c r="D270" i="29" s="1"/>
  <c r="E267" i="29"/>
  <c r="F267" i="29"/>
  <c r="F270" i="29" s="1"/>
  <c r="D268" i="29"/>
  <c r="E268" i="29"/>
  <c r="F268" i="29"/>
  <c r="D269" i="29"/>
  <c r="E269" i="29"/>
  <c r="F269" i="29"/>
  <c r="C278" i="29"/>
  <c r="D278" i="29"/>
  <c r="E278" i="29"/>
  <c r="F278" i="29"/>
  <c r="C281" i="29"/>
  <c r="D281" i="29"/>
  <c r="E281" i="29"/>
  <c r="F281" i="29"/>
  <c r="C282" i="29"/>
  <c r="D282" i="29"/>
  <c r="E282" i="29"/>
  <c r="F282" i="29"/>
  <c r="C291" i="29"/>
  <c r="D291" i="29"/>
  <c r="E291" i="29"/>
  <c r="E294" i="29" s="1"/>
  <c r="F291" i="29"/>
  <c r="D292" i="29"/>
  <c r="E292" i="29"/>
  <c r="F292" i="29"/>
  <c r="D293" i="29"/>
  <c r="E293" i="29"/>
  <c r="F293" i="29"/>
  <c r="D294" i="29"/>
  <c r="C300" i="29"/>
  <c r="D300" i="29"/>
  <c r="E300" i="29"/>
  <c r="F300" i="29"/>
  <c r="C305" i="29"/>
  <c r="G329" i="29" s="1"/>
  <c r="D305" i="29"/>
  <c r="H329" i="29" s="1"/>
  <c r="E305" i="29"/>
  <c r="I329" i="29" s="1"/>
  <c r="F305" i="29"/>
  <c r="C306" i="29"/>
  <c r="D306" i="29"/>
  <c r="E306" i="29"/>
  <c r="F306" i="29"/>
  <c r="C315" i="29"/>
  <c r="D315" i="29"/>
  <c r="D318" i="29" s="1"/>
  <c r="E315" i="29"/>
  <c r="F315" i="29"/>
  <c r="D316" i="29"/>
  <c r="E316" i="29"/>
  <c r="F316" i="29"/>
  <c r="D317" i="29"/>
  <c r="E317" i="29"/>
  <c r="F317" i="29"/>
  <c r="E318" i="29"/>
  <c r="C326" i="29"/>
  <c r="D326" i="29"/>
  <c r="E326" i="29"/>
  <c r="F326" i="29"/>
  <c r="C329" i="29"/>
  <c r="D329" i="29"/>
  <c r="E329" i="29"/>
  <c r="F329" i="29"/>
  <c r="J329" i="29"/>
  <c r="C330" i="29"/>
  <c r="D330" i="29"/>
  <c r="E330" i="29"/>
  <c r="F330" i="29"/>
  <c r="C338" i="29"/>
  <c r="D338" i="29"/>
  <c r="E338" i="29"/>
  <c r="E341" i="29" s="1"/>
  <c r="F338" i="29"/>
  <c r="F354" i="29" s="1"/>
  <c r="G338" i="29"/>
  <c r="H338" i="29"/>
  <c r="I338" i="29"/>
  <c r="J338" i="29"/>
  <c r="C339" i="29"/>
  <c r="D339" i="29"/>
  <c r="E339" i="29"/>
  <c r="F339" i="29"/>
  <c r="F342" i="29" s="1"/>
  <c r="D340" i="29"/>
  <c r="E340" i="29"/>
  <c r="F340" i="29"/>
  <c r="D341" i="29"/>
  <c r="D342" i="29"/>
  <c r="E342" i="29"/>
  <c r="C353" i="29"/>
  <c r="D353" i="29"/>
  <c r="E353" i="29"/>
  <c r="F353" i="29"/>
  <c r="C354" i="29"/>
  <c r="D354" i="29"/>
  <c r="E354" i="29"/>
  <c r="G364" i="29"/>
  <c r="H364" i="29"/>
  <c r="I364" i="29"/>
  <c r="J364" i="29"/>
  <c r="C365" i="29"/>
  <c r="D365" i="29"/>
  <c r="E365" i="29"/>
  <c r="E368" i="29" s="1"/>
  <c r="F365" i="29"/>
  <c r="D366" i="29"/>
  <c r="E366" i="29"/>
  <c r="F366" i="29"/>
  <c r="D367" i="29"/>
  <c r="E367" i="29"/>
  <c r="F367" i="29"/>
  <c r="D368" i="29"/>
  <c r="C373" i="29"/>
  <c r="D373" i="29"/>
  <c r="E373" i="29"/>
  <c r="F373" i="29"/>
  <c r="C374" i="29"/>
  <c r="D374" i="29"/>
  <c r="E374" i="29"/>
  <c r="F374" i="29"/>
  <c r="C375" i="29"/>
  <c r="D375" i="29"/>
  <c r="E375" i="29"/>
  <c r="F375" i="29"/>
  <c r="C377" i="29"/>
  <c r="D377" i="29"/>
  <c r="D378" i="29"/>
  <c r="H378" i="29"/>
  <c r="H383" i="29" s="1"/>
  <c r="H379" i="29"/>
  <c r="I379" i="29"/>
  <c r="I383" i="29" s="1"/>
  <c r="J379" i="29"/>
  <c r="K379" i="29"/>
  <c r="K383" i="29" s="1"/>
  <c r="C380" i="29"/>
  <c r="D380" i="29"/>
  <c r="E380" i="29"/>
  <c r="F380" i="29"/>
  <c r="H380" i="29"/>
  <c r="C382" i="29"/>
  <c r="D382" i="29"/>
  <c r="E382" i="29"/>
  <c r="E383" i="29" s="1"/>
  <c r="F382" i="29"/>
  <c r="F383" i="29" s="1"/>
  <c r="D383" i="29"/>
  <c r="J383" i="29"/>
  <c r="C384" i="29"/>
  <c r="D384" i="29"/>
  <c r="D385" i="29" s="1"/>
  <c r="E384" i="29"/>
  <c r="F384" i="29"/>
  <c r="F385" i="29"/>
  <c r="F388" i="29"/>
  <c r="F398" i="29" s="1"/>
  <c r="C390" i="29"/>
  <c r="D390" i="29"/>
  <c r="E390" i="29"/>
  <c r="F390" i="29"/>
  <c r="C394" i="29"/>
  <c r="D394" i="29"/>
  <c r="E394" i="29"/>
  <c r="F394" i="29"/>
  <c r="E396" i="29"/>
  <c r="F396" i="29"/>
  <c r="F397" i="29" s="1"/>
  <c r="C400" i="29"/>
  <c r="F400" i="29"/>
  <c r="B34" i="28"/>
  <c r="C34" i="28"/>
  <c r="D34" i="28"/>
  <c r="E34" i="28"/>
  <c r="B46" i="28"/>
  <c r="C49" i="28" s="1"/>
  <c r="C46" i="28"/>
  <c r="D46" i="28"/>
  <c r="E46" i="28"/>
  <c r="C47" i="28"/>
  <c r="D47" i="28"/>
  <c r="E47" i="28"/>
  <c r="C48" i="28"/>
  <c r="D48" i="28"/>
  <c r="E48" i="28"/>
  <c r="D49" i="28"/>
  <c r="E49" i="28"/>
  <c r="B57" i="28"/>
  <c r="C57" i="28"/>
  <c r="C388" i="28" s="1"/>
  <c r="D57" i="28"/>
  <c r="D388" i="28" s="1"/>
  <c r="D398" i="28" s="1"/>
  <c r="D399" i="28" s="1"/>
  <c r="E57" i="28"/>
  <c r="E388" i="28" s="1"/>
  <c r="E398" i="28" s="1"/>
  <c r="B60" i="28"/>
  <c r="C60" i="28"/>
  <c r="D60" i="28"/>
  <c r="E60" i="28"/>
  <c r="E378" i="28" s="1"/>
  <c r="E379" i="28" s="1"/>
  <c r="B61" i="28"/>
  <c r="C61" i="28"/>
  <c r="D61" i="28"/>
  <c r="E61" i="28"/>
  <c r="B70" i="28"/>
  <c r="C70" i="28"/>
  <c r="D70" i="28"/>
  <c r="E70" i="28"/>
  <c r="E73" i="28" s="1"/>
  <c r="C71" i="28"/>
  <c r="D71" i="28"/>
  <c r="E71" i="28"/>
  <c r="C72" i="28"/>
  <c r="D72" i="28"/>
  <c r="E72" i="28"/>
  <c r="C73" i="28"/>
  <c r="D73" i="28"/>
  <c r="B81" i="28"/>
  <c r="C81" i="28"/>
  <c r="D81" i="28"/>
  <c r="E81" i="28"/>
  <c r="B84" i="28"/>
  <c r="C84" i="28"/>
  <c r="D84" i="28"/>
  <c r="E84" i="28"/>
  <c r="B85" i="28"/>
  <c r="C85" i="28"/>
  <c r="D85" i="28"/>
  <c r="E85" i="28"/>
  <c r="B98" i="28"/>
  <c r="C98" i="28"/>
  <c r="D98" i="28"/>
  <c r="D101" i="28" s="1"/>
  <c r="E98" i="28"/>
  <c r="C99" i="28"/>
  <c r="D99" i="28"/>
  <c r="E99" i="28"/>
  <c r="C100" i="28"/>
  <c r="D100" i="28"/>
  <c r="E100" i="28"/>
  <c r="C101" i="28"/>
  <c r="B106" i="28"/>
  <c r="C106" i="28"/>
  <c r="C396" i="28" s="1"/>
  <c r="C397" i="28" s="1"/>
  <c r="D106" i="28"/>
  <c r="E106" i="28"/>
  <c r="B107" i="28"/>
  <c r="B378" i="28" s="1"/>
  <c r="C107" i="28"/>
  <c r="C378" i="28" s="1"/>
  <c r="D107" i="28"/>
  <c r="E107" i="28"/>
  <c r="B108" i="28"/>
  <c r="C108" i="28"/>
  <c r="D108" i="28"/>
  <c r="E108" i="28"/>
  <c r="B117" i="28"/>
  <c r="C117" i="28"/>
  <c r="C120" i="28" s="1"/>
  <c r="D117" i="28"/>
  <c r="E117" i="28"/>
  <c r="C118" i="28"/>
  <c r="D118" i="28"/>
  <c r="E118" i="28"/>
  <c r="C119" i="28"/>
  <c r="D119" i="28"/>
  <c r="E119" i="28"/>
  <c r="E120" i="28"/>
  <c r="B128" i="28"/>
  <c r="C128" i="28"/>
  <c r="D128" i="28"/>
  <c r="E128" i="28"/>
  <c r="B131" i="28"/>
  <c r="C131" i="28"/>
  <c r="D131" i="28"/>
  <c r="E131" i="28"/>
  <c r="B132" i="28"/>
  <c r="C132" i="28"/>
  <c r="D132" i="28"/>
  <c r="E132" i="28"/>
  <c r="B141" i="28"/>
  <c r="C144" i="28" s="1"/>
  <c r="C141" i="28"/>
  <c r="D141" i="28"/>
  <c r="E141" i="28"/>
  <c r="C142" i="28"/>
  <c r="D142" i="28"/>
  <c r="E142" i="28"/>
  <c r="C143" i="28"/>
  <c r="D143" i="28"/>
  <c r="E143" i="28"/>
  <c r="D144" i="28"/>
  <c r="E144" i="28"/>
  <c r="B152" i="28"/>
  <c r="C152" i="28"/>
  <c r="D152" i="28"/>
  <c r="E152" i="28"/>
  <c r="B155" i="28"/>
  <c r="C155" i="28"/>
  <c r="D155" i="28"/>
  <c r="E155" i="28"/>
  <c r="B156" i="28"/>
  <c r="C156" i="28"/>
  <c r="D156" i="28"/>
  <c r="E156" i="28"/>
  <c r="B169" i="28"/>
  <c r="C169" i="28"/>
  <c r="D169" i="28"/>
  <c r="E169" i="28"/>
  <c r="E172" i="28" s="1"/>
  <c r="C170" i="28"/>
  <c r="D170" i="28"/>
  <c r="E170" i="28"/>
  <c r="C171" i="28"/>
  <c r="D171" i="28"/>
  <c r="E171" i="28"/>
  <c r="C172" i="28"/>
  <c r="D172" i="28"/>
  <c r="B180" i="28"/>
  <c r="C180" i="28"/>
  <c r="D180" i="28"/>
  <c r="E180" i="28"/>
  <c r="B183" i="28"/>
  <c r="C183" i="28"/>
  <c r="D183" i="28"/>
  <c r="E183" i="28"/>
  <c r="B184" i="28"/>
  <c r="C184" i="28"/>
  <c r="D184" i="28"/>
  <c r="E184" i="28"/>
  <c r="B193" i="28"/>
  <c r="C193" i="28"/>
  <c r="D193" i="28"/>
  <c r="D196" i="28" s="1"/>
  <c r="E193" i="28"/>
  <c r="C194" i="28"/>
  <c r="D194" i="28"/>
  <c r="E194" i="28"/>
  <c r="C195" i="28"/>
  <c r="D195" i="28"/>
  <c r="E195" i="28"/>
  <c r="C196" i="28"/>
  <c r="B207" i="28"/>
  <c r="C207" i="28"/>
  <c r="D207" i="28"/>
  <c r="E207" i="28"/>
  <c r="B208" i="28"/>
  <c r="C208" i="28"/>
  <c r="D208" i="28"/>
  <c r="E208" i="28"/>
  <c r="B218" i="28"/>
  <c r="C218" i="28"/>
  <c r="C221" i="28" s="1"/>
  <c r="D218" i="28"/>
  <c r="E218" i="28"/>
  <c r="C219" i="28"/>
  <c r="D219" i="28"/>
  <c r="E219" i="28"/>
  <c r="C220" i="28"/>
  <c r="D220" i="28"/>
  <c r="E220" i="28"/>
  <c r="E221" i="28"/>
  <c r="B229" i="28"/>
  <c r="C229" i="28"/>
  <c r="D229" i="28"/>
  <c r="E229" i="28"/>
  <c r="B232" i="28"/>
  <c r="C232" i="28"/>
  <c r="D232" i="28"/>
  <c r="E232" i="28"/>
  <c r="B233" i="28"/>
  <c r="C233" i="28"/>
  <c r="D233" i="28"/>
  <c r="E233" i="28"/>
  <c r="B243" i="28"/>
  <c r="C246" i="28" s="1"/>
  <c r="C243" i="28"/>
  <c r="D243" i="28"/>
  <c r="E243" i="28"/>
  <c r="C244" i="28"/>
  <c r="D244" i="28"/>
  <c r="E244" i="28"/>
  <c r="C245" i="28"/>
  <c r="D245" i="28"/>
  <c r="E245" i="28"/>
  <c r="D246" i="28"/>
  <c r="E246" i="28"/>
  <c r="B254" i="28"/>
  <c r="C254" i="28"/>
  <c r="D254" i="28"/>
  <c r="E254" i="28"/>
  <c r="B257" i="28"/>
  <c r="C257" i="28"/>
  <c r="D257" i="28"/>
  <c r="E257" i="28"/>
  <c r="B258" i="28"/>
  <c r="C258" i="28"/>
  <c r="D258" i="28"/>
  <c r="E258" i="28"/>
  <c r="B267" i="28"/>
  <c r="C267" i="28"/>
  <c r="D267" i="28"/>
  <c r="E267" i="28"/>
  <c r="E270" i="28" s="1"/>
  <c r="C268" i="28"/>
  <c r="D268" i="28"/>
  <c r="E268" i="28"/>
  <c r="C269" i="28"/>
  <c r="D269" i="28"/>
  <c r="E269" i="28"/>
  <c r="C270" i="28"/>
  <c r="D270" i="28"/>
  <c r="B278" i="28"/>
  <c r="C278" i="28"/>
  <c r="D278" i="28"/>
  <c r="E278" i="28"/>
  <c r="B281" i="28"/>
  <c r="C281" i="28"/>
  <c r="D281" i="28"/>
  <c r="E281" i="28"/>
  <c r="B282" i="28"/>
  <c r="C282" i="28"/>
  <c r="D282" i="28"/>
  <c r="E282" i="28"/>
  <c r="B291" i="28"/>
  <c r="C291" i="28"/>
  <c r="D291" i="28"/>
  <c r="D294" i="28" s="1"/>
  <c r="E291" i="28"/>
  <c r="C292" i="28"/>
  <c r="D292" i="28"/>
  <c r="E292" i="28"/>
  <c r="C293" i="28"/>
  <c r="D293" i="28"/>
  <c r="E293" i="28"/>
  <c r="C294" i="28"/>
  <c r="B300" i="28"/>
  <c r="C300" i="28"/>
  <c r="D300" i="28"/>
  <c r="E300" i="28"/>
  <c r="B305" i="28"/>
  <c r="C305" i="28"/>
  <c r="D305" i="28"/>
  <c r="E305" i="28"/>
  <c r="B306" i="28"/>
  <c r="C306" i="28"/>
  <c r="D306" i="28"/>
  <c r="E306" i="28"/>
  <c r="B315" i="28"/>
  <c r="C315" i="28"/>
  <c r="C318" i="28" s="1"/>
  <c r="D315" i="28"/>
  <c r="E315" i="28"/>
  <c r="C316" i="28"/>
  <c r="D316" i="28"/>
  <c r="E316" i="28"/>
  <c r="C317" i="28"/>
  <c r="D317" i="28"/>
  <c r="E317" i="28"/>
  <c r="E318" i="28"/>
  <c r="B326" i="28"/>
  <c r="C326" i="28"/>
  <c r="D326" i="28"/>
  <c r="E326" i="28"/>
  <c r="B329" i="28"/>
  <c r="C329" i="28"/>
  <c r="D329" i="28"/>
  <c r="E329" i="28"/>
  <c r="B330" i="28"/>
  <c r="C330" i="28"/>
  <c r="D330" i="28"/>
  <c r="E330" i="28"/>
  <c r="B338" i="28"/>
  <c r="B354" i="28" s="1"/>
  <c r="C338" i="28"/>
  <c r="D338" i="28"/>
  <c r="E338" i="28"/>
  <c r="E341" i="28" s="1"/>
  <c r="B339" i="28"/>
  <c r="C342" i="28" s="1"/>
  <c r="C339" i="28"/>
  <c r="D339" i="28"/>
  <c r="E339" i="28"/>
  <c r="C340" i="28"/>
  <c r="D340" i="28"/>
  <c r="E340" i="28"/>
  <c r="D341" i="28"/>
  <c r="D342" i="28"/>
  <c r="E342" i="28"/>
  <c r="B353" i="28"/>
  <c r="C353" i="28"/>
  <c r="D353" i="28"/>
  <c r="E353" i="28"/>
  <c r="C354" i="28"/>
  <c r="D354" i="28"/>
  <c r="E354" i="28"/>
  <c r="B365" i="28"/>
  <c r="C365" i="28"/>
  <c r="D365" i="28"/>
  <c r="E365" i="28"/>
  <c r="E368" i="28" s="1"/>
  <c r="C366" i="28"/>
  <c r="D366" i="28"/>
  <c r="E366" i="28"/>
  <c r="C367" i="28"/>
  <c r="D367" i="28"/>
  <c r="E367" i="28"/>
  <c r="C368" i="28"/>
  <c r="D368" i="28"/>
  <c r="B373" i="28"/>
  <c r="C373" i="28"/>
  <c r="D373" i="28"/>
  <c r="D396" i="28" s="1"/>
  <c r="D397" i="28" s="1"/>
  <c r="E373" i="28"/>
  <c r="B374" i="28"/>
  <c r="C374" i="28"/>
  <c r="D374" i="28"/>
  <c r="E374" i="28"/>
  <c r="B375" i="28"/>
  <c r="C375" i="28"/>
  <c r="D375" i="28"/>
  <c r="E375" i="28"/>
  <c r="C377" i="28"/>
  <c r="D377" i="28"/>
  <c r="D378" i="28"/>
  <c r="D379" i="28" s="1"/>
  <c r="B380" i="28"/>
  <c r="C380" i="28"/>
  <c r="D380" i="28"/>
  <c r="E380" i="28"/>
  <c r="B382" i="28"/>
  <c r="C382" i="28"/>
  <c r="C383" i="28" s="1"/>
  <c r="D382" i="28"/>
  <c r="D383" i="28" s="1"/>
  <c r="E382" i="28"/>
  <c r="E383" i="28" s="1"/>
  <c r="B384" i="28"/>
  <c r="B398" i="28" s="1"/>
  <c r="C384" i="28"/>
  <c r="C385" i="28" s="1"/>
  <c r="D384" i="28"/>
  <c r="E384" i="28"/>
  <c r="E385" i="28"/>
  <c r="B388" i="28"/>
  <c r="B390" i="28"/>
  <c r="C390" i="28"/>
  <c r="D390" i="28"/>
  <c r="E390" i="28"/>
  <c r="B394" i="28"/>
  <c r="C394" i="28"/>
  <c r="D394" i="28"/>
  <c r="E394" i="28"/>
  <c r="B396" i="28"/>
  <c r="E396" i="28"/>
  <c r="B400" i="28"/>
  <c r="C400" i="28"/>
  <c r="D400" i="28"/>
  <c r="E400" i="28"/>
  <c r="B399" i="28" l="1"/>
  <c r="C379" i="28"/>
  <c r="E397" i="29"/>
  <c r="E398" i="29"/>
  <c r="D398" i="29"/>
  <c r="D399" i="29" s="1"/>
  <c r="C398" i="29"/>
  <c r="C399" i="29" s="1"/>
  <c r="E397" i="28"/>
  <c r="C341" i="28"/>
  <c r="E385" i="29"/>
  <c r="C398" i="28"/>
  <c r="C399" i="28" s="1"/>
  <c r="B377" i="28"/>
  <c r="D318" i="28"/>
  <c r="E294" i="28"/>
  <c r="D221" i="28"/>
  <c r="E196" i="28"/>
  <c r="D120" i="28"/>
  <c r="E101" i="28"/>
  <c r="F377" i="29"/>
  <c r="F399" i="29" s="1"/>
  <c r="F368" i="29"/>
  <c r="F341" i="29"/>
  <c r="G56" i="31"/>
  <c r="G369" i="31"/>
  <c r="D385" i="28"/>
  <c r="E377" i="28"/>
  <c r="E399" i="28" s="1"/>
  <c r="E377" i="29"/>
  <c r="F318" i="29"/>
  <c r="F294" i="29"/>
  <c r="E270" i="29"/>
  <c r="E246" i="29"/>
  <c r="D221" i="29"/>
  <c r="F196" i="29"/>
  <c r="F172" i="29"/>
  <c r="E144" i="29"/>
  <c r="E120" i="29"/>
  <c r="D101" i="29"/>
  <c r="G159" i="32"/>
  <c r="K157" i="32"/>
  <c r="G375" i="31"/>
  <c r="F376" i="31"/>
  <c r="F389" i="31"/>
  <c r="E370" i="31"/>
  <c r="F155" i="30"/>
  <c r="G107" i="27"/>
  <c r="F107" i="27"/>
  <c r="E107" i="27"/>
  <c r="G171" i="27"/>
  <c r="F171" i="27"/>
  <c r="E171" i="27"/>
  <c r="G170" i="27"/>
  <c r="F170" i="27"/>
  <c r="E170" i="27"/>
  <c r="E399" i="29" l="1"/>
  <c r="F370" i="31"/>
  <c r="G376" i="31"/>
  <c r="G389" i="31"/>
  <c r="E203" i="27"/>
  <c r="E249" i="27" s="1"/>
  <c r="F203" i="27"/>
  <c r="G203" i="27"/>
  <c r="D203" i="27"/>
  <c r="D206" i="27" s="1"/>
  <c r="D207" i="27" s="1"/>
  <c r="F180" i="27"/>
  <c r="G180" i="27"/>
  <c r="E180" i="27"/>
  <c r="G62" i="27"/>
  <c r="F62" i="27"/>
  <c r="E62" i="27"/>
  <c r="D62" i="27"/>
  <c r="G32" i="18"/>
  <c r="F32" i="18"/>
  <c r="E32" i="18"/>
  <c r="D32" i="18"/>
  <c r="G29" i="18"/>
  <c r="F29" i="18"/>
  <c r="E29" i="18"/>
  <c r="D29" i="18"/>
  <c r="G26" i="18"/>
  <c r="F26" i="18"/>
  <c r="E26" i="18"/>
  <c r="G32" i="25"/>
  <c r="F32" i="25"/>
  <c r="E32" i="25"/>
  <c r="D32" i="25"/>
  <c r="G29" i="25"/>
  <c r="F29" i="25"/>
  <c r="E29" i="25"/>
  <c r="D29" i="25"/>
  <c r="G26" i="25"/>
  <c r="F26" i="25"/>
  <c r="E26" i="25"/>
  <c r="D26" i="25"/>
  <c r="G277" i="27"/>
  <c r="G281" i="27" s="1"/>
  <c r="F277" i="27"/>
  <c r="F281" i="27" s="1"/>
  <c r="E277" i="27"/>
  <c r="E281" i="27" s="1"/>
  <c r="D277" i="27"/>
  <c r="D276" i="27"/>
  <c r="F253" i="27"/>
  <c r="G251" i="27"/>
  <c r="F251" i="27"/>
  <c r="E251" i="27"/>
  <c r="D251" i="27"/>
  <c r="G245" i="27"/>
  <c r="G241" i="27"/>
  <c r="F241" i="27"/>
  <c r="E241" i="27"/>
  <c r="D241" i="27"/>
  <c r="G239" i="27"/>
  <c r="F239" i="27"/>
  <c r="E239" i="27"/>
  <c r="D239" i="27"/>
  <c r="G237" i="27"/>
  <c r="F237" i="27"/>
  <c r="E237" i="27"/>
  <c r="D237" i="27"/>
  <c r="G234" i="27"/>
  <c r="F234" i="27"/>
  <c r="E234" i="27"/>
  <c r="D234" i="27"/>
  <c r="G227" i="27"/>
  <c r="G228" i="27" s="1"/>
  <c r="F227" i="27"/>
  <c r="F228" i="27" s="1"/>
  <c r="E227" i="27"/>
  <c r="E228" i="27" s="1"/>
  <c r="D227" i="27"/>
  <c r="D228" i="27" s="1"/>
  <c r="G220" i="27"/>
  <c r="F220" i="27"/>
  <c r="E220" i="27"/>
  <c r="G219" i="27"/>
  <c r="F219" i="27"/>
  <c r="E219" i="27"/>
  <c r="G218" i="27"/>
  <c r="F218" i="27"/>
  <c r="F221" i="27" s="1"/>
  <c r="E218" i="27"/>
  <c r="D218" i="27"/>
  <c r="G249" i="27"/>
  <c r="F249" i="27"/>
  <c r="G192" i="27"/>
  <c r="F192" i="27"/>
  <c r="E192" i="27"/>
  <c r="G191" i="27"/>
  <c r="F191" i="27"/>
  <c r="E191" i="27"/>
  <c r="G190" i="27"/>
  <c r="F190" i="27"/>
  <c r="E190" i="27"/>
  <c r="D190" i="27"/>
  <c r="G169" i="27"/>
  <c r="G173" i="27" s="1"/>
  <c r="G174" i="27" s="1"/>
  <c r="F169" i="27"/>
  <c r="F247" i="27" s="1"/>
  <c r="E169" i="27"/>
  <c r="E247" i="27" s="1"/>
  <c r="D169" i="27"/>
  <c r="D173" i="27" s="1"/>
  <c r="D174" i="27" s="1"/>
  <c r="E160" i="27"/>
  <c r="G159" i="27"/>
  <c r="F159" i="27"/>
  <c r="E159" i="27"/>
  <c r="G158" i="27"/>
  <c r="F158" i="27"/>
  <c r="E158" i="27"/>
  <c r="G157" i="27"/>
  <c r="F157" i="27"/>
  <c r="F160" i="27" s="1"/>
  <c r="E157" i="27"/>
  <c r="D157" i="27"/>
  <c r="G140" i="27"/>
  <c r="G141" i="27" s="1"/>
  <c r="F140" i="27"/>
  <c r="F141" i="27" s="1"/>
  <c r="E140" i="27"/>
  <c r="E141" i="27" s="1"/>
  <c r="D140" i="27"/>
  <c r="D141" i="27" s="1"/>
  <c r="G129" i="27"/>
  <c r="F129" i="27"/>
  <c r="E129" i="27"/>
  <c r="G128" i="27"/>
  <c r="F128" i="27"/>
  <c r="E128" i="27"/>
  <c r="G127" i="27"/>
  <c r="F127" i="27"/>
  <c r="E127" i="27"/>
  <c r="G116" i="27"/>
  <c r="G253" i="27" s="1"/>
  <c r="F116" i="27"/>
  <c r="F117" i="27" s="1"/>
  <c r="F118" i="27" s="1"/>
  <c r="E116" i="27"/>
  <c r="E117" i="27" s="1"/>
  <c r="E118" i="27" s="1"/>
  <c r="D116" i="27"/>
  <c r="D253" i="27" s="1"/>
  <c r="G110" i="27"/>
  <c r="F110" i="27"/>
  <c r="E110" i="27"/>
  <c r="G109" i="27"/>
  <c r="F109" i="27"/>
  <c r="E109" i="27"/>
  <c r="G108" i="27"/>
  <c r="F108" i="27"/>
  <c r="E108" i="27"/>
  <c r="D108" i="27"/>
  <c r="G87" i="27"/>
  <c r="G90" i="27" s="1"/>
  <c r="G91" i="27" s="1"/>
  <c r="F87" i="27"/>
  <c r="F90" i="27" s="1"/>
  <c r="F91" i="27" s="1"/>
  <c r="E87" i="27"/>
  <c r="E245" i="27" s="1"/>
  <c r="D87" i="27"/>
  <c r="D245" i="27" s="1"/>
  <c r="G78" i="27"/>
  <c r="F78" i="27"/>
  <c r="E78" i="27"/>
  <c r="G77" i="27"/>
  <c r="F77" i="27"/>
  <c r="E77" i="27"/>
  <c r="G76" i="27"/>
  <c r="G79" i="27" s="1"/>
  <c r="F76" i="27"/>
  <c r="E76" i="27"/>
  <c r="D76" i="27"/>
  <c r="G54" i="27"/>
  <c r="G55" i="27" s="1"/>
  <c r="F54" i="27"/>
  <c r="E54" i="27"/>
  <c r="D54" i="27"/>
  <c r="D55" i="27" s="1"/>
  <c r="G42" i="27"/>
  <c r="F42" i="27"/>
  <c r="E42" i="27"/>
  <c r="G41" i="27"/>
  <c r="F41" i="27"/>
  <c r="E41" i="27"/>
  <c r="G40" i="27"/>
  <c r="F40" i="27"/>
  <c r="E40" i="27"/>
  <c r="E43" i="27" s="1"/>
  <c r="D40" i="27"/>
  <c r="G78" i="25"/>
  <c r="E140" i="26"/>
  <c r="F140" i="26"/>
  <c r="G140" i="26"/>
  <c r="D140" i="26"/>
  <c r="D142" i="26"/>
  <c r="E138" i="26"/>
  <c r="F138" i="26"/>
  <c r="G138" i="26"/>
  <c r="D138" i="26"/>
  <c r="E134" i="26"/>
  <c r="F134" i="26"/>
  <c r="G134" i="26"/>
  <c r="D134" i="26"/>
  <c r="E132" i="26"/>
  <c r="F132" i="26"/>
  <c r="G132" i="26"/>
  <c r="D132" i="26"/>
  <c r="E130" i="26"/>
  <c r="F130" i="26"/>
  <c r="G130" i="26"/>
  <c r="D130" i="26"/>
  <c r="E128" i="26"/>
  <c r="F128" i="26"/>
  <c r="G128" i="26"/>
  <c r="D128" i="26"/>
  <c r="E104" i="26"/>
  <c r="E105" i="26" s="1"/>
  <c r="F104" i="26"/>
  <c r="F116" i="26" s="1"/>
  <c r="F121" i="26" s="1"/>
  <c r="F122" i="26" s="1"/>
  <c r="G104" i="26"/>
  <c r="G116" i="26" s="1"/>
  <c r="G121" i="26" s="1"/>
  <c r="G122" i="26" s="1"/>
  <c r="D104" i="26"/>
  <c r="E78" i="26"/>
  <c r="F78" i="26"/>
  <c r="F79" i="26" s="1"/>
  <c r="G78" i="26"/>
  <c r="G87" i="26" s="1"/>
  <c r="G88" i="26" s="1"/>
  <c r="G89" i="26" s="1"/>
  <c r="D78" i="26"/>
  <c r="E34" i="26"/>
  <c r="E32" i="26"/>
  <c r="E52" i="26" s="1"/>
  <c r="F32" i="26"/>
  <c r="F33" i="26" s="1"/>
  <c r="G32" i="26"/>
  <c r="D32" i="26"/>
  <c r="G106" i="26"/>
  <c r="F106" i="26"/>
  <c r="E106" i="26"/>
  <c r="G80" i="26"/>
  <c r="F80" i="26"/>
  <c r="E80" i="26"/>
  <c r="G34" i="26"/>
  <c r="F34" i="26"/>
  <c r="G19" i="26"/>
  <c r="F19" i="26"/>
  <c r="E19" i="26"/>
  <c r="D19" i="26"/>
  <c r="G16" i="26"/>
  <c r="F16" i="26"/>
  <c r="E16" i="26"/>
  <c r="D16" i="26"/>
  <c r="G13" i="26"/>
  <c r="F13" i="26"/>
  <c r="E13" i="26"/>
  <c r="D13" i="26"/>
  <c r="E164" i="25"/>
  <c r="F43" i="27" l="1"/>
  <c r="F111" i="27"/>
  <c r="E240" i="27"/>
  <c r="G79" i="26"/>
  <c r="G82" i="26" s="1"/>
  <c r="G105" i="26"/>
  <c r="F79" i="27"/>
  <c r="G370" i="31"/>
  <c r="G254" i="27"/>
  <c r="E79" i="27"/>
  <c r="G160" i="27"/>
  <c r="E173" i="27"/>
  <c r="E174" i="27" s="1"/>
  <c r="G238" i="27"/>
  <c r="G240" i="27"/>
  <c r="D247" i="27"/>
  <c r="D281" i="27"/>
  <c r="E248" i="27"/>
  <c r="G221" i="27"/>
  <c r="G247" i="27"/>
  <c r="G111" i="27"/>
  <c r="F248" i="27"/>
  <c r="F245" i="27"/>
  <c r="F246" i="27" s="1"/>
  <c r="E253" i="27"/>
  <c r="F254" i="27" s="1"/>
  <c r="G193" i="27"/>
  <c r="E193" i="27"/>
  <c r="F193" i="27"/>
  <c r="F250" i="27"/>
  <c r="F81" i="26"/>
  <c r="F87" i="26"/>
  <c r="F88" i="26" s="1"/>
  <c r="F125" i="26"/>
  <c r="G107" i="26"/>
  <c r="G125" i="26"/>
  <c r="E87" i="26"/>
  <c r="E88" i="26" s="1"/>
  <c r="E79" i="26"/>
  <c r="F82" i="26" s="1"/>
  <c r="D125" i="26"/>
  <c r="E107" i="26"/>
  <c r="E81" i="26"/>
  <c r="E116" i="26"/>
  <c r="E121" i="26" s="1"/>
  <c r="E122" i="26" s="1"/>
  <c r="E125" i="26"/>
  <c r="D79" i="26"/>
  <c r="D87" i="26"/>
  <c r="D88" i="26" s="1"/>
  <c r="F107" i="26"/>
  <c r="E33" i="26"/>
  <c r="F36" i="26" s="1"/>
  <c r="E35" i="26"/>
  <c r="F105" i="26"/>
  <c r="F108" i="26" s="1"/>
  <c r="G144" i="26"/>
  <c r="G248" i="27"/>
  <c r="E111" i="27"/>
  <c r="G250" i="27"/>
  <c r="E221" i="27"/>
  <c r="D249" i="27"/>
  <c r="E250" i="27" s="1"/>
  <c r="D90" i="27"/>
  <c r="E238" i="27"/>
  <c r="G43" i="27"/>
  <c r="E55" i="27"/>
  <c r="E246" i="27"/>
  <c r="G117" i="27"/>
  <c r="G118" i="27" s="1"/>
  <c r="E255" i="27"/>
  <c r="F240" i="27"/>
  <c r="G255" i="27"/>
  <c r="E254" i="27"/>
  <c r="F55" i="27"/>
  <c r="E90" i="27"/>
  <c r="E91" i="27" s="1"/>
  <c r="D117" i="27"/>
  <c r="D118" i="27" s="1"/>
  <c r="F173" i="27"/>
  <c r="F174" i="27" s="1"/>
  <c r="E206" i="27"/>
  <c r="E207" i="27" s="1"/>
  <c r="F238" i="27"/>
  <c r="F206" i="27"/>
  <c r="F207" i="27" s="1"/>
  <c r="G206" i="27"/>
  <c r="G207" i="27" s="1"/>
  <c r="D105" i="26"/>
  <c r="E108" i="26" s="1"/>
  <c r="D116" i="26"/>
  <c r="G81" i="26"/>
  <c r="G33" i="26"/>
  <c r="G36" i="26" s="1"/>
  <c r="F35" i="26"/>
  <c r="F52" i="26"/>
  <c r="F136" i="26" s="1"/>
  <c r="G35" i="26"/>
  <c r="G52" i="26"/>
  <c r="G136" i="26" s="1"/>
  <c r="D33" i="26"/>
  <c r="D61" i="26"/>
  <c r="E61" i="26"/>
  <c r="E173" i="25"/>
  <c r="F138" i="25"/>
  <c r="E138" i="25"/>
  <c r="F78" i="25"/>
  <c r="F87" i="25" s="1"/>
  <c r="F88" i="25" s="1"/>
  <c r="E78" i="25"/>
  <c r="D47" i="25"/>
  <c r="D44" i="25"/>
  <c r="E50" i="25"/>
  <c r="F50" i="25"/>
  <c r="G50" i="25"/>
  <c r="D50" i="25"/>
  <c r="G189" i="25"/>
  <c r="F189" i="25"/>
  <c r="E189" i="25"/>
  <c r="D189" i="25"/>
  <c r="G187" i="25"/>
  <c r="F187" i="25"/>
  <c r="E187" i="25"/>
  <c r="G185" i="25"/>
  <c r="F185" i="25"/>
  <c r="E185" i="25"/>
  <c r="D185" i="25"/>
  <c r="G182" i="25"/>
  <c r="F182" i="25"/>
  <c r="E182" i="25"/>
  <c r="D182" i="25"/>
  <c r="G173" i="25"/>
  <c r="G178" i="25" s="1"/>
  <c r="G179" i="25" s="1"/>
  <c r="F173" i="25"/>
  <c r="F178" i="25" s="1"/>
  <c r="F179" i="25" s="1"/>
  <c r="E178" i="25"/>
  <c r="E179" i="25" s="1"/>
  <c r="D173" i="25"/>
  <c r="D193" i="25" s="1"/>
  <c r="G164" i="25"/>
  <c r="F164" i="25"/>
  <c r="G163" i="25"/>
  <c r="F163" i="25"/>
  <c r="E163" i="25"/>
  <c r="G162" i="25"/>
  <c r="G174" i="25" s="1"/>
  <c r="F162" i="25"/>
  <c r="E162" i="25"/>
  <c r="D162" i="25"/>
  <c r="G144" i="25"/>
  <c r="G145" i="25" s="1"/>
  <c r="G146" i="25" s="1"/>
  <c r="F144" i="25"/>
  <c r="F145" i="25" s="1"/>
  <c r="F146" i="25" s="1"/>
  <c r="E144" i="25"/>
  <c r="E201" i="25" s="1"/>
  <c r="D144" i="25"/>
  <c r="D145" i="25" s="1"/>
  <c r="D146" i="25" s="1"/>
  <c r="G138" i="25"/>
  <c r="G137" i="25"/>
  <c r="F137" i="25"/>
  <c r="E137" i="25"/>
  <c r="G136" i="25"/>
  <c r="F136" i="25"/>
  <c r="E136" i="25"/>
  <c r="D136" i="25"/>
  <c r="D118" i="25"/>
  <c r="D119" i="25" s="1"/>
  <c r="G115" i="25"/>
  <c r="G118" i="25" s="1"/>
  <c r="G119" i="25" s="1"/>
  <c r="F115" i="25"/>
  <c r="E115" i="25"/>
  <c r="E118" i="25" s="1"/>
  <c r="E119" i="25" s="1"/>
  <c r="G106" i="25"/>
  <c r="F106" i="25"/>
  <c r="E106" i="25"/>
  <c r="G105" i="25"/>
  <c r="F105" i="25"/>
  <c r="E105" i="25"/>
  <c r="G104" i="25"/>
  <c r="F104" i="25"/>
  <c r="E104" i="25"/>
  <c r="E107" i="25" s="1"/>
  <c r="D104" i="25"/>
  <c r="E87" i="25"/>
  <c r="E88" i="25" s="1"/>
  <c r="D69" i="25"/>
  <c r="D187" i="25" s="1"/>
  <c r="G61" i="25"/>
  <c r="F61" i="25"/>
  <c r="E61" i="25"/>
  <c r="G60" i="25"/>
  <c r="F60" i="25"/>
  <c r="E60" i="25"/>
  <c r="G59" i="25"/>
  <c r="F59" i="25"/>
  <c r="E59" i="25"/>
  <c r="D59" i="25"/>
  <c r="G47" i="25"/>
  <c r="F47" i="25"/>
  <c r="E47" i="25"/>
  <c r="G44" i="25"/>
  <c r="F44" i="25"/>
  <c r="E44" i="25"/>
  <c r="C69" i="24"/>
  <c r="E114" i="24"/>
  <c r="E186" i="24" s="1"/>
  <c r="D120" i="24"/>
  <c r="D194" i="24" s="1"/>
  <c r="E120" i="24"/>
  <c r="E194" i="24" s="1"/>
  <c r="F120" i="24"/>
  <c r="F194" i="24" s="1"/>
  <c r="D105" i="24"/>
  <c r="E105" i="24"/>
  <c r="F105" i="24"/>
  <c r="C105" i="24"/>
  <c r="D115" i="24"/>
  <c r="D188" i="24" s="1"/>
  <c r="E115" i="24"/>
  <c r="E188" i="24" s="1"/>
  <c r="F115" i="24"/>
  <c r="F188" i="24" s="1"/>
  <c r="C115" i="24"/>
  <c r="C188" i="24" s="1"/>
  <c r="D114" i="24"/>
  <c r="D186" i="24" s="1"/>
  <c r="F114" i="24"/>
  <c r="F186" i="24" s="1"/>
  <c r="C114" i="24"/>
  <c r="C186" i="24" s="1"/>
  <c r="D106" i="24"/>
  <c r="E106" i="24"/>
  <c r="F106" i="24"/>
  <c r="E132" i="24"/>
  <c r="F132" i="24"/>
  <c r="D133" i="24"/>
  <c r="E133" i="24"/>
  <c r="F133" i="24"/>
  <c r="C132" i="24"/>
  <c r="C133" i="24"/>
  <c r="D152" i="24"/>
  <c r="E152" i="24"/>
  <c r="F152" i="24"/>
  <c r="D153" i="24"/>
  <c r="E153" i="24"/>
  <c r="F153" i="24"/>
  <c r="C152" i="24"/>
  <c r="C153" i="24"/>
  <c r="D170" i="24"/>
  <c r="E170" i="24"/>
  <c r="F170" i="24"/>
  <c r="C170" i="24"/>
  <c r="D171" i="24"/>
  <c r="E171" i="24"/>
  <c r="F171" i="24"/>
  <c r="C171" i="24"/>
  <c r="C28" i="23"/>
  <c r="G191" i="23"/>
  <c r="F183" i="24" l="1"/>
  <c r="D183" i="24"/>
  <c r="G246" i="27"/>
  <c r="F255" i="27"/>
  <c r="E183" i="24"/>
  <c r="F61" i="26"/>
  <c r="F126" i="26" s="1"/>
  <c r="D255" i="27"/>
  <c r="E126" i="26"/>
  <c r="E36" i="26"/>
  <c r="F62" i="25"/>
  <c r="F107" i="25"/>
  <c r="G108" i="26"/>
  <c r="E82" i="26"/>
  <c r="E136" i="26"/>
  <c r="F137" i="26" s="1"/>
  <c r="F193" i="25"/>
  <c r="F194" i="25" s="1"/>
  <c r="E139" i="25"/>
  <c r="G193" i="25"/>
  <c r="G61" i="26"/>
  <c r="G126" i="26" s="1"/>
  <c r="G137" i="26"/>
  <c r="D89" i="26"/>
  <c r="D144" i="26"/>
  <c r="F89" i="26"/>
  <c r="F144" i="26"/>
  <c r="F146" i="26" s="1"/>
  <c r="D121" i="26"/>
  <c r="D122" i="26" s="1"/>
  <c r="D136" i="26"/>
  <c r="E89" i="26"/>
  <c r="E144" i="26"/>
  <c r="G235" i="27"/>
  <c r="F235" i="27"/>
  <c r="D235" i="27"/>
  <c r="D91" i="27"/>
  <c r="E235" i="27"/>
  <c r="D62" i="26"/>
  <c r="G146" i="26"/>
  <c r="E62" i="26"/>
  <c r="G62" i="25"/>
  <c r="F174" i="25"/>
  <c r="E165" i="25"/>
  <c r="E174" i="25"/>
  <c r="E62" i="25"/>
  <c r="G107" i="25"/>
  <c r="E193" i="25"/>
  <c r="E194" i="25" s="1"/>
  <c r="G165" i="25"/>
  <c r="F165" i="25"/>
  <c r="G139" i="25"/>
  <c r="F139" i="25"/>
  <c r="F201" i="25"/>
  <c r="F202" i="25" s="1"/>
  <c r="F203" i="25"/>
  <c r="F118" i="25"/>
  <c r="F119" i="25" s="1"/>
  <c r="E145" i="25"/>
  <c r="E146" i="25" s="1"/>
  <c r="D178" i="25"/>
  <c r="D179" i="25" s="1"/>
  <c r="G87" i="25"/>
  <c r="G201" i="25"/>
  <c r="D87" i="25"/>
  <c r="D201" i="25"/>
  <c r="D203" i="25" s="1"/>
  <c r="D38" i="25" s="1"/>
  <c r="D173" i="24"/>
  <c r="D121" i="24"/>
  <c r="F62" i="26" l="1"/>
  <c r="G62" i="26"/>
  <c r="E137" i="26"/>
  <c r="D36" i="25"/>
  <c r="D37" i="25"/>
  <c r="F38" i="25"/>
  <c r="E203" i="25"/>
  <c r="G194" i="25"/>
  <c r="G26" i="26"/>
  <c r="G22" i="26" s="1"/>
  <c r="G25" i="26"/>
  <c r="F26" i="26"/>
  <c r="F22" i="26" s="1"/>
  <c r="F25" i="26"/>
  <c r="G202" i="25"/>
  <c r="D146" i="26"/>
  <c r="D26" i="26" s="1"/>
  <c r="D22" i="26" s="1"/>
  <c r="E145" i="26"/>
  <c r="E146" i="26"/>
  <c r="G124" i="26"/>
  <c r="D126" i="26"/>
  <c r="D124" i="26" s="1"/>
  <c r="F145" i="26"/>
  <c r="G145" i="26"/>
  <c r="F236" i="27"/>
  <c r="E236" i="27"/>
  <c r="G236" i="27"/>
  <c r="F124" i="26"/>
  <c r="F127" i="26"/>
  <c r="E124" i="26"/>
  <c r="G127" i="26"/>
  <c r="E183" i="25"/>
  <c r="E181" i="25" s="1"/>
  <c r="G203" i="25"/>
  <c r="E202" i="25"/>
  <c r="F183" i="25"/>
  <c r="F204" i="25" s="1"/>
  <c r="G183" i="25"/>
  <c r="G88" i="25"/>
  <c r="D88" i="25"/>
  <c r="D183" i="25"/>
  <c r="D181" i="25" s="1"/>
  <c r="F36" i="25" l="1"/>
  <c r="F37" i="25"/>
  <c r="G204" i="25"/>
  <c r="G38" i="25"/>
  <c r="E38" i="25"/>
  <c r="E26" i="26"/>
  <c r="E22" i="26" s="1"/>
  <c r="E25" i="26"/>
  <c r="F23" i="26"/>
  <c r="F24" i="26"/>
  <c r="D25" i="26"/>
  <c r="G24" i="26"/>
  <c r="G23" i="26"/>
  <c r="E127" i="26"/>
  <c r="E204" i="25"/>
  <c r="D204" i="25"/>
  <c r="F181" i="25"/>
  <c r="F184" i="25"/>
  <c r="G181" i="25"/>
  <c r="G184" i="25"/>
  <c r="E184" i="25"/>
  <c r="G37" i="25" l="1"/>
  <c r="G36" i="25"/>
  <c r="E36" i="25"/>
  <c r="E37" i="25"/>
  <c r="D24" i="26"/>
  <c r="D23" i="26"/>
  <c r="E23" i="26"/>
  <c r="E24" i="26"/>
  <c r="C194" i="24"/>
  <c r="F180" i="24"/>
  <c r="F181" i="24" s="1"/>
  <c r="E180" i="24"/>
  <c r="E181" i="24" s="1"/>
  <c r="D180" i="24"/>
  <c r="D181" i="24" s="1"/>
  <c r="C180" i="24"/>
  <c r="C181" i="24" s="1"/>
  <c r="F174" i="24"/>
  <c r="E174" i="24"/>
  <c r="D174" i="24"/>
  <c r="F173" i="24"/>
  <c r="E173" i="24"/>
  <c r="F172" i="24"/>
  <c r="E172" i="24"/>
  <c r="D172" i="24"/>
  <c r="F162" i="24"/>
  <c r="F163" i="24" s="1"/>
  <c r="E162" i="24"/>
  <c r="E163" i="24" s="1"/>
  <c r="D162" i="24"/>
  <c r="D163" i="24" s="1"/>
  <c r="C162" i="24"/>
  <c r="C163" i="24" s="1"/>
  <c r="F156" i="24"/>
  <c r="E156" i="24"/>
  <c r="D156" i="24"/>
  <c r="F155" i="24"/>
  <c r="E155" i="24"/>
  <c r="D155" i="24"/>
  <c r="F154" i="24"/>
  <c r="E154" i="24"/>
  <c r="D154" i="24"/>
  <c r="D157" i="24" s="1"/>
  <c r="F142" i="24"/>
  <c r="E142" i="24"/>
  <c r="D142" i="24"/>
  <c r="D143" i="24" s="1"/>
  <c r="C142" i="24"/>
  <c r="F136" i="24"/>
  <c r="E136" i="24"/>
  <c r="D136" i="24"/>
  <c r="F135" i="24"/>
  <c r="E135" i="24"/>
  <c r="D135" i="24"/>
  <c r="F134" i="24"/>
  <c r="E134" i="24"/>
  <c r="D134" i="24"/>
  <c r="F121" i="24"/>
  <c r="F122" i="24" s="1"/>
  <c r="E121" i="24"/>
  <c r="E122" i="24" s="1"/>
  <c r="D122" i="24"/>
  <c r="C121" i="24"/>
  <c r="C122" i="24" s="1"/>
  <c r="F109" i="24"/>
  <c r="E109" i="24"/>
  <c r="D109" i="24"/>
  <c r="F108" i="24"/>
  <c r="E108" i="24"/>
  <c r="D108" i="24"/>
  <c r="F107" i="24"/>
  <c r="E107" i="24"/>
  <c r="D107" i="24"/>
  <c r="F81" i="24"/>
  <c r="E81" i="24"/>
  <c r="D81" i="24"/>
  <c r="F19" i="24"/>
  <c r="E19" i="24"/>
  <c r="D19" i="24"/>
  <c r="C19" i="24"/>
  <c r="F17" i="24"/>
  <c r="F16" i="24" s="1"/>
  <c r="E17" i="24"/>
  <c r="E16" i="24" s="1"/>
  <c r="D17" i="24"/>
  <c r="D16" i="24" s="1"/>
  <c r="C17" i="24"/>
  <c r="C16" i="24" s="1"/>
  <c r="F14" i="24"/>
  <c r="E14" i="24"/>
  <c r="D14" i="24"/>
  <c r="C14" i="24"/>
  <c r="F12" i="24"/>
  <c r="E12" i="24"/>
  <c r="D12" i="24"/>
  <c r="C12" i="24"/>
  <c r="F10" i="24"/>
  <c r="E10" i="24"/>
  <c r="D10" i="24"/>
  <c r="C10" i="24"/>
  <c r="D266" i="23"/>
  <c r="E266" i="23"/>
  <c r="F266" i="23"/>
  <c r="D237" i="23"/>
  <c r="E237" i="23"/>
  <c r="F237" i="23"/>
  <c r="C237" i="23"/>
  <c r="C184" i="23"/>
  <c r="E196" i="23"/>
  <c r="F196" i="23"/>
  <c r="D196" i="23"/>
  <c r="F184" i="23"/>
  <c r="E184" i="23"/>
  <c r="D184" i="23"/>
  <c r="D192" i="23" s="1"/>
  <c r="D185" i="23"/>
  <c r="F159" i="23"/>
  <c r="E159" i="23"/>
  <c r="D159" i="23"/>
  <c r="G156" i="23"/>
  <c r="G89" i="23"/>
  <c r="H89" i="23"/>
  <c r="I89" i="23" s="1"/>
  <c r="D184" i="24" l="1"/>
  <c r="F196" i="24"/>
  <c r="F197" i="24" s="1"/>
  <c r="F157" i="24"/>
  <c r="F192" i="23"/>
  <c r="E192" i="23"/>
  <c r="D110" i="24"/>
  <c r="F110" i="24"/>
  <c r="F137" i="24"/>
  <c r="E137" i="24"/>
  <c r="D137" i="24"/>
  <c r="E157" i="24"/>
  <c r="C196" i="24"/>
  <c r="E175" i="24"/>
  <c r="D175" i="24"/>
  <c r="E196" i="24"/>
  <c r="E197" i="24" s="1"/>
  <c r="F175" i="24"/>
  <c r="E110" i="24"/>
  <c r="E143" i="24"/>
  <c r="D196" i="24"/>
  <c r="D197" i="24" s="1"/>
  <c r="D198" i="24" s="1"/>
  <c r="F143" i="24"/>
  <c r="C143" i="24"/>
  <c r="D187" i="23"/>
  <c r="D50" i="23"/>
  <c r="D49" i="23"/>
  <c r="D59" i="23" s="1"/>
  <c r="F50" i="23"/>
  <c r="E50" i="23"/>
  <c r="I47" i="23"/>
  <c r="H47" i="23"/>
  <c r="G47" i="23"/>
  <c r="H254" i="23" l="1"/>
  <c r="I254" i="23"/>
  <c r="G254" i="23"/>
  <c r="G236" i="23"/>
  <c r="I236" i="23"/>
  <c r="H236" i="23"/>
  <c r="H216" i="23"/>
  <c r="I216" i="23"/>
  <c r="G216" i="23"/>
  <c r="G194" i="23"/>
  <c r="H194" i="23" s="1"/>
  <c r="I194" i="23" s="1"/>
  <c r="I156" i="23"/>
  <c r="H156" i="23"/>
  <c r="G119" i="23"/>
  <c r="H119" i="23" s="1"/>
  <c r="I119" i="23" s="1"/>
  <c r="H95" i="23"/>
  <c r="I95" i="23" s="1"/>
  <c r="G92" i="23"/>
  <c r="J92" i="23"/>
  <c r="J89" i="23"/>
  <c r="F289" i="23"/>
  <c r="E289" i="23"/>
  <c r="D289" i="23"/>
  <c r="C289" i="23"/>
  <c r="F281" i="23"/>
  <c r="E281" i="23"/>
  <c r="D281" i="23"/>
  <c r="D282" i="23" s="1"/>
  <c r="C281" i="23"/>
  <c r="F271" i="23"/>
  <c r="E271" i="23"/>
  <c r="D271" i="23"/>
  <c r="C271" i="23"/>
  <c r="F269" i="23"/>
  <c r="E269" i="23"/>
  <c r="D269" i="23"/>
  <c r="C269" i="23"/>
  <c r="C266" i="23"/>
  <c r="F263" i="23"/>
  <c r="F264" i="23" s="1"/>
  <c r="E263" i="23"/>
  <c r="E264" i="23" s="1"/>
  <c r="D263" i="23"/>
  <c r="D264" i="23" s="1"/>
  <c r="C263" i="23"/>
  <c r="C264" i="23" s="1"/>
  <c r="F257" i="23"/>
  <c r="E257" i="23"/>
  <c r="D257" i="23"/>
  <c r="F256" i="23"/>
  <c r="E256" i="23"/>
  <c r="D256" i="23"/>
  <c r="F255" i="23"/>
  <c r="E255" i="23"/>
  <c r="D255" i="23"/>
  <c r="C255" i="23"/>
  <c r="F245" i="23"/>
  <c r="F246" i="23" s="1"/>
  <c r="E245" i="23"/>
  <c r="E246" i="23" s="1"/>
  <c r="D245" i="23"/>
  <c r="D246" i="23" s="1"/>
  <c r="C245" i="23"/>
  <c r="C246" i="23" s="1"/>
  <c r="F240" i="23"/>
  <c r="F239" i="23"/>
  <c r="E239" i="23"/>
  <c r="D239" i="23"/>
  <c r="F238" i="23"/>
  <c r="E238" i="23"/>
  <c r="D238" i="23"/>
  <c r="E240" i="23"/>
  <c r="F225" i="23"/>
  <c r="F226" i="23" s="1"/>
  <c r="E225" i="23"/>
  <c r="E226" i="23" s="1"/>
  <c r="D225" i="23"/>
  <c r="D285" i="23" s="1"/>
  <c r="C225" i="23"/>
  <c r="F219" i="23"/>
  <c r="E219" i="23"/>
  <c r="D219" i="23"/>
  <c r="F218" i="23"/>
  <c r="E218" i="23"/>
  <c r="D218" i="23"/>
  <c r="F217" i="23"/>
  <c r="E217" i="23"/>
  <c r="D217" i="23"/>
  <c r="C217" i="23"/>
  <c r="F204" i="23"/>
  <c r="E204" i="23"/>
  <c r="D204" i="23"/>
  <c r="D205" i="23" s="1"/>
  <c r="C204" i="23"/>
  <c r="C205" i="23" s="1"/>
  <c r="F186" i="23"/>
  <c r="F195" i="23" s="1"/>
  <c r="E186" i="23"/>
  <c r="E195" i="23" s="1"/>
  <c r="D186" i="23"/>
  <c r="D195" i="23" s="1"/>
  <c r="F185" i="23"/>
  <c r="E185" i="23"/>
  <c r="F173" i="23"/>
  <c r="F174" i="23" s="1"/>
  <c r="E173" i="23"/>
  <c r="E174" i="23" s="1"/>
  <c r="D173" i="23"/>
  <c r="D174" i="23" s="1"/>
  <c r="C173" i="23"/>
  <c r="F158" i="23"/>
  <c r="E158" i="23"/>
  <c r="D158" i="23"/>
  <c r="F157" i="23"/>
  <c r="E157" i="23"/>
  <c r="D157" i="23"/>
  <c r="D160" i="23" s="1"/>
  <c r="C157" i="23"/>
  <c r="F143" i="23"/>
  <c r="E143" i="23"/>
  <c r="D143" i="23"/>
  <c r="C143" i="23"/>
  <c r="F140" i="23"/>
  <c r="E140" i="23"/>
  <c r="D140" i="23"/>
  <c r="C140" i="23"/>
  <c r="F136" i="23"/>
  <c r="F137" i="23" s="1"/>
  <c r="E136" i="23"/>
  <c r="E137" i="23" s="1"/>
  <c r="D136" i="23"/>
  <c r="D137" i="23" s="1"/>
  <c r="C136" i="23"/>
  <c r="C137" i="23" s="1"/>
  <c r="F123" i="23"/>
  <c r="E123" i="23"/>
  <c r="D123" i="23"/>
  <c r="F122" i="23"/>
  <c r="E122" i="23"/>
  <c r="D122" i="23"/>
  <c r="F121" i="23"/>
  <c r="E121" i="23"/>
  <c r="D121" i="23"/>
  <c r="F108" i="23"/>
  <c r="E108" i="23"/>
  <c r="D108" i="23"/>
  <c r="C108" i="23"/>
  <c r="F106" i="23"/>
  <c r="E106" i="23"/>
  <c r="D106" i="23"/>
  <c r="C106" i="23"/>
  <c r="F103" i="23"/>
  <c r="E103" i="23"/>
  <c r="C102" i="23"/>
  <c r="C103" i="23" s="1"/>
  <c r="F85" i="23"/>
  <c r="E85" i="23"/>
  <c r="D85" i="23"/>
  <c r="F84" i="23"/>
  <c r="E84" i="23"/>
  <c r="D84" i="23"/>
  <c r="F83" i="23"/>
  <c r="E83" i="23"/>
  <c r="D83" i="23"/>
  <c r="F71" i="23"/>
  <c r="E71" i="23"/>
  <c r="D71" i="23"/>
  <c r="C71" i="23"/>
  <c r="F70" i="23"/>
  <c r="E70" i="23"/>
  <c r="D70" i="23"/>
  <c r="C70" i="23"/>
  <c r="F68" i="23"/>
  <c r="E68" i="23"/>
  <c r="D68" i="23"/>
  <c r="C68" i="23"/>
  <c r="F57" i="23"/>
  <c r="F64" i="23" s="1"/>
  <c r="E57" i="23"/>
  <c r="E64" i="23" s="1"/>
  <c r="D57" i="23"/>
  <c r="D64" i="23" s="1"/>
  <c r="C57" i="23"/>
  <c r="C273" i="23" s="1"/>
  <c r="F49" i="23"/>
  <c r="F59" i="23" s="1"/>
  <c r="E49" i="23"/>
  <c r="E59" i="23" s="1"/>
  <c r="F48" i="23"/>
  <c r="E48" i="23"/>
  <c r="D48" i="23"/>
  <c r="D51" i="23" s="1"/>
  <c r="D58" i="23" s="1"/>
  <c r="C48" i="23"/>
  <c r="F37" i="23"/>
  <c r="E37" i="23"/>
  <c r="D37" i="23"/>
  <c r="C37" i="23"/>
  <c r="F35" i="23"/>
  <c r="E35" i="23"/>
  <c r="D35" i="23"/>
  <c r="C35" i="23"/>
  <c r="F28" i="23"/>
  <c r="E28" i="23"/>
  <c r="D28" i="23"/>
  <c r="F26" i="23"/>
  <c r="E26" i="23"/>
  <c r="D26" i="23"/>
  <c r="D25" i="23" s="1"/>
  <c r="C26" i="23"/>
  <c r="C25" i="23" s="1"/>
  <c r="F25" i="23"/>
  <c r="E25" i="23"/>
  <c r="F23" i="23"/>
  <c r="E23" i="23"/>
  <c r="D23" i="23"/>
  <c r="C23" i="23"/>
  <c r="F21" i="23"/>
  <c r="E21" i="23"/>
  <c r="D21" i="23"/>
  <c r="C21" i="23"/>
  <c r="F19" i="23"/>
  <c r="E19" i="23"/>
  <c r="D19" i="23"/>
  <c r="C19" i="23"/>
  <c r="E282" i="23" l="1"/>
  <c r="E258" i="23"/>
  <c r="F272" i="23"/>
  <c r="F282" i="23"/>
  <c r="E160" i="23"/>
  <c r="D272" i="23"/>
  <c r="C174" i="23"/>
  <c r="E51" i="23"/>
  <c r="E58" i="23" s="1"/>
  <c r="F270" i="23"/>
  <c r="F187" i="24" s="1"/>
  <c r="D270" i="23"/>
  <c r="D187" i="24" s="1"/>
  <c r="E270" i="23"/>
  <c r="E187" i="24" s="1"/>
  <c r="G183" i="23"/>
  <c r="E205" i="23"/>
  <c r="E267" i="23"/>
  <c r="F205" i="23"/>
  <c r="F267" i="23"/>
  <c r="F258" i="23"/>
  <c r="F220" i="23"/>
  <c r="E220" i="23"/>
  <c r="H191" i="23"/>
  <c r="H183" i="23" s="1"/>
  <c r="H92" i="23"/>
  <c r="G88" i="23"/>
  <c r="F51" i="23"/>
  <c r="F58" i="23" s="1"/>
  <c r="F160" i="23"/>
  <c r="F187" i="23"/>
  <c r="D220" i="23"/>
  <c r="D258" i="23"/>
  <c r="E272" i="23"/>
  <c r="E187" i="23"/>
  <c r="C285" i="23"/>
  <c r="D286" i="23" s="1"/>
  <c r="E285" i="23"/>
  <c r="E286" i="23" s="1"/>
  <c r="D273" i="23"/>
  <c r="D65" i="23"/>
  <c r="E65" i="23"/>
  <c r="F65" i="23"/>
  <c r="C226" i="23"/>
  <c r="C267" i="23" s="1"/>
  <c r="D240" i="23"/>
  <c r="E273" i="23"/>
  <c r="F285" i="23"/>
  <c r="D226" i="23"/>
  <c r="D267" i="23" s="1"/>
  <c r="F273" i="23"/>
  <c r="C64" i="23"/>
  <c r="F389" i="22"/>
  <c r="E389" i="22"/>
  <c r="D389" i="22"/>
  <c r="C389" i="22"/>
  <c r="F385" i="22"/>
  <c r="D385" i="22"/>
  <c r="C385" i="22"/>
  <c r="F377" i="22"/>
  <c r="E377" i="22"/>
  <c r="D377" i="22"/>
  <c r="C377" i="22"/>
  <c r="F368" i="22"/>
  <c r="F369" i="22" s="1"/>
  <c r="F370" i="22" s="1"/>
  <c r="E368" i="22"/>
  <c r="E369" i="22" s="1"/>
  <c r="E370" i="22" s="1"/>
  <c r="D368" i="22"/>
  <c r="D369" i="22" s="1"/>
  <c r="D370" i="22" s="1"/>
  <c r="C368" i="22"/>
  <c r="C369" i="22" s="1"/>
  <c r="C370" i="22" s="1"/>
  <c r="F362" i="22"/>
  <c r="E362" i="22"/>
  <c r="D362" i="22"/>
  <c r="F361" i="22"/>
  <c r="E361" i="22"/>
  <c r="D361" i="22"/>
  <c r="F360" i="22"/>
  <c r="E360" i="22"/>
  <c r="D360" i="22"/>
  <c r="C360" i="22"/>
  <c r="F348" i="22"/>
  <c r="E348" i="22"/>
  <c r="D348" i="22"/>
  <c r="C348" i="22"/>
  <c r="F335" i="22"/>
  <c r="E335" i="22"/>
  <c r="D335" i="22"/>
  <c r="F333" i="22"/>
  <c r="E333" i="22"/>
  <c r="D333" i="22"/>
  <c r="C333" i="22"/>
  <c r="C372" i="22" s="1"/>
  <c r="F321" i="22"/>
  <c r="F324" i="22" s="1"/>
  <c r="E321" i="22"/>
  <c r="E324" i="22" s="1"/>
  <c r="D321" i="22"/>
  <c r="D324" i="22" s="1"/>
  <c r="C321" i="22"/>
  <c r="C324" i="22" s="1"/>
  <c r="F312" i="22"/>
  <c r="E312" i="22"/>
  <c r="D312" i="22"/>
  <c r="F311" i="22"/>
  <c r="E311" i="22"/>
  <c r="D311" i="22"/>
  <c r="F310" i="22"/>
  <c r="E310" i="22"/>
  <c r="D310" i="22"/>
  <c r="C310" i="22"/>
  <c r="F295" i="22"/>
  <c r="F300" i="22" s="1"/>
  <c r="F301" i="22" s="1"/>
  <c r="E295" i="22"/>
  <c r="E300" i="22" s="1"/>
  <c r="E301" i="22" s="1"/>
  <c r="D295" i="22"/>
  <c r="D300" i="22" s="1"/>
  <c r="D301" i="22" s="1"/>
  <c r="C295" i="22"/>
  <c r="C379" i="22" s="1"/>
  <c r="F288" i="22"/>
  <c r="E288" i="22"/>
  <c r="D288" i="22"/>
  <c r="F287" i="22"/>
  <c r="E287" i="22"/>
  <c r="D287" i="22"/>
  <c r="F286" i="22"/>
  <c r="E286" i="22"/>
  <c r="D286" i="22"/>
  <c r="C286" i="22"/>
  <c r="F273" i="22"/>
  <c r="F276" i="22" s="1"/>
  <c r="F277" i="22" s="1"/>
  <c r="E273" i="22"/>
  <c r="E276" i="22" s="1"/>
  <c r="E277" i="22" s="1"/>
  <c r="D273" i="22"/>
  <c r="D276" i="22" s="1"/>
  <c r="D277" i="22" s="1"/>
  <c r="C273" i="22"/>
  <c r="C276" i="22" s="1"/>
  <c r="C277" i="22" s="1"/>
  <c r="F264" i="22"/>
  <c r="E264" i="22"/>
  <c r="D264" i="22"/>
  <c r="F263" i="22"/>
  <c r="E263" i="22"/>
  <c r="D263" i="22"/>
  <c r="F262" i="22"/>
  <c r="E262" i="22"/>
  <c r="D262" i="22"/>
  <c r="C262" i="22"/>
  <c r="F249" i="22"/>
  <c r="F252" i="22" s="1"/>
  <c r="F253" i="22" s="1"/>
  <c r="E249" i="22"/>
  <c r="E252" i="22" s="1"/>
  <c r="E253" i="22" s="1"/>
  <c r="D249" i="22"/>
  <c r="D252" i="22" s="1"/>
  <c r="D253" i="22" s="1"/>
  <c r="C249" i="22"/>
  <c r="C252" i="22" s="1"/>
  <c r="C253" i="22" s="1"/>
  <c r="F240" i="22"/>
  <c r="E240" i="22"/>
  <c r="D240" i="22"/>
  <c r="F239" i="22"/>
  <c r="E239" i="22"/>
  <c r="D239" i="22"/>
  <c r="F238" i="22"/>
  <c r="E238" i="22"/>
  <c r="D238" i="22"/>
  <c r="C238" i="22"/>
  <c r="F224" i="22"/>
  <c r="F227" i="22" s="1"/>
  <c r="F228" i="22" s="1"/>
  <c r="E224" i="22"/>
  <c r="E227" i="22" s="1"/>
  <c r="E228" i="22" s="1"/>
  <c r="D224" i="22"/>
  <c r="D227" i="22" s="1"/>
  <c r="D228" i="22" s="1"/>
  <c r="C224" i="22"/>
  <c r="C227" i="22" s="1"/>
  <c r="C228" i="22" s="1"/>
  <c r="F215" i="22"/>
  <c r="E215" i="22"/>
  <c r="D215" i="22"/>
  <c r="F214" i="22"/>
  <c r="E214" i="22"/>
  <c r="D214" i="22"/>
  <c r="F213" i="22"/>
  <c r="E213" i="22"/>
  <c r="D213" i="22"/>
  <c r="C213" i="22"/>
  <c r="F202" i="22"/>
  <c r="F203" i="22" s="1"/>
  <c r="E202" i="22"/>
  <c r="E203" i="22" s="1"/>
  <c r="D202" i="22"/>
  <c r="D203" i="22" s="1"/>
  <c r="C202" i="22"/>
  <c r="C203" i="22" s="1"/>
  <c r="F190" i="22"/>
  <c r="E190" i="22"/>
  <c r="D190" i="22"/>
  <c r="F189" i="22"/>
  <c r="E189" i="22"/>
  <c r="D189" i="22"/>
  <c r="F188" i="22"/>
  <c r="E188" i="22"/>
  <c r="D188" i="22"/>
  <c r="C188" i="22"/>
  <c r="F175" i="22"/>
  <c r="F178" i="22" s="1"/>
  <c r="F179" i="22" s="1"/>
  <c r="E175" i="22"/>
  <c r="E178" i="22" s="1"/>
  <c r="E179" i="22" s="1"/>
  <c r="D175" i="22"/>
  <c r="D178" i="22" s="1"/>
  <c r="D179" i="22" s="1"/>
  <c r="C175" i="22"/>
  <c r="C178" i="22" s="1"/>
  <c r="C179" i="22" s="1"/>
  <c r="F166" i="22"/>
  <c r="E166" i="22"/>
  <c r="D166" i="22"/>
  <c r="F165" i="22"/>
  <c r="E165" i="22"/>
  <c r="D165" i="22"/>
  <c r="F164" i="22"/>
  <c r="E164" i="22"/>
  <c r="D164" i="22"/>
  <c r="C164" i="22"/>
  <c r="F149" i="22"/>
  <c r="F152" i="22" s="1"/>
  <c r="E149" i="22"/>
  <c r="E152" i="22" s="1"/>
  <c r="D149" i="22"/>
  <c r="D152" i="22" s="1"/>
  <c r="C149" i="22"/>
  <c r="C152" i="22" s="1"/>
  <c r="F140" i="22"/>
  <c r="E140" i="22"/>
  <c r="D140" i="22"/>
  <c r="F139" i="22"/>
  <c r="E139" i="22"/>
  <c r="D139" i="22"/>
  <c r="F138" i="22"/>
  <c r="E138" i="22"/>
  <c r="D138" i="22"/>
  <c r="C138" i="22"/>
  <c r="F125" i="22"/>
  <c r="F128" i="22" s="1"/>
  <c r="F129" i="22" s="1"/>
  <c r="E125" i="22"/>
  <c r="E128" i="22" s="1"/>
  <c r="E129" i="22" s="1"/>
  <c r="D125" i="22"/>
  <c r="D128" i="22" s="1"/>
  <c r="D129" i="22" s="1"/>
  <c r="C125" i="22"/>
  <c r="C128" i="22" s="1"/>
  <c r="C129" i="22" s="1"/>
  <c r="F116" i="22"/>
  <c r="E116" i="22"/>
  <c r="D116" i="22"/>
  <c r="F115" i="22"/>
  <c r="E115" i="22"/>
  <c r="D115" i="22"/>
  <c r="F114" i="22"/>
  <c r="E114" i="22"/>
  <c r="D114" i="22"/>
  <c r="C114" i="22"/>
  <c r="C104" i="22"/>
  <c r="C105" i="22" s="1"/>
  <c r="F103" i="22"/>
  <c r="F104" i="22" s="1"/>
  <c r="F105" i="22" s="1"/>
  <c r="E103" i="22"/>
  <c r="E104" i="22" s="1"/>
  <c r="E105" i="22" s="1"/>
  <c r="D103" i="22"/>
  <c r="D391" i="22" s="1"/>
  <c r="C103" i="22"/>
  <c r="C391" i="22" s="1"/>
  <c r="F97" i="22"/>
  <c r="E97" i="22"/>
  <c r="D97" i="22"/>
  <c r="F96" i="22"/>
  <c r="E96" i="22"/>
  <c r="D96" i="22"/>
  <c r="F95" i="22"/>
  <c r="E95" i="22"/>
  <c r="D95" i="22"/>
  <c r="C95" i="22"/>
  <c r="F78" i="22"/>
  <c r="F81" i="22" s="1"/>
  <c r="F82" i="22" s="1"/>
  <c r="E78" i="22"/>
  <c r="E81" i="22" s="1"/>
  <c r="E82" i="22" s="1"/>
  <c r="D78" i="22"/>
  <c r="D81" i="22" s="1"/>
  <c r="D82" i="22" s="1"/>
  <c r="C78" i="22"/>
  <c r="C81" i="22" s="1"/>
  <c r="C82" i="22" s="1"/>
  <c r="F69" i="22"/>
  <c r="E69" i="22"/>
  <c r="D69" i="22"/>
  <c r="F68" i="22"/>
  <c r="E68" i="22"/>
  <c r="D68" i="22"/>
  <c r="F67" i="22"/>
  <c r="E67" i="22"/>
  <c r="D67" i="22"/>
  <c r="C67" i="22"/>
  <c r="F54" i="22"/>
  <c r="E54" i="22"/>
  <c r="D54" i="22"/>
  <c r="C54" i="22"/>
  <c r="F45" i="22"/>
  <c r="E45" i="22"/>
  <c r="D45" i="22"/>
  <c r="F44" i="22"/>
  <c r="E44" i="22"/>
  <c r="D44" i="22"/>
  <c r="F43" i="22"/>
  <c r="E43" i="22"/>
  <c r="E46" i="22" s="1"/>
  <c r="D43" i="22"/>
  <c r="C43" i="22"/>
  <c r="F31" i="22"/>
  <c r="E31" i="22"/>
  <c r="D31" i="22"/>
  <c r="C31" i="22"/>
  <c r="D34" i="20"/>
  <c r="E34" i="20"/>
  <c r="F34" i="20"/>
  <c r="G34" i="20"/>
  <c r="E35" i="20"/>
  <c r="F35" i="20"/>
  <c r="G35" i="20"/>
  <c r="E36" i="20"/>
  <c r="F36" i="20"/>
  <c r="G36" i="20"/>
  <c r="G37" i="20"/>
  <c r="D48" i="20"/>
  <c r="E48" i="20"/>
  <c r="F48" i="20"/>
  <c r="G48" i="20"/>
  <c r="D49" i="20"/>
  <c r="E49" i="20"/>
  <c r="F49" i="20"/>
  <c r="G49" i="20"/>
  <c r="D64" i="20"/>
  <c r="E64" i="20"/>
  <c r="F64" i="20"/>
  <c r="G64" i="20"/>
  <c r="E65" i="20"/>
  <c r="F65" i="20"/>
  <c r="G65" i="20"/>
  <c r="E66" i="20"/>
  <c r="F66" i="20"/>
  <c r="G66" i="20"/>
  <c r="D75" i="20"/>
  <c r="D225" i="20" s="1"/>
  <c r="E75" i="20"/>
  <c r="F75" i="20"/>
  <c r="F225" i="20" s="1"/>
  <c r="G75" i="20"/>
  <c r="D78" i="20"/>
  <c r="E78" i="20"/>
  <c r="F78" i="20"/>
  <c r="G78" i="20"/>
  <c r="D79" i="20"/>
  <c r="E79" i="20"/>
  <c r="F79" i="20"/>
  <c r="G79" i="20"/>
  <c r="D93" i="20"/>
  <c r="E96" i="20" s="1"/>
  <c r="E93" i="20"/>
  <c r="F93" i="20"/>
  <c r="G93" i="20"/>
  <c r="E94" i="20"/>
  <c r="F94" i="20"/>
  <c r="G94" i="20"/>
  <c r="E95" i="20"/>
  <c r="F95" i="20"/>
  <c r="G95" i="20"/>
  <c r="D101" i="20"/>
  <c r="E101" i="20"/>
  <c r="E233" i="20" s="1"/>
  <c r="F101" i="20"/>
  <c r="F102" i="20" s="1"/>
  <c r="F103" i="20" s="1"/>
  <c r="G101" i="20"/>
  <c r="G102" i="20" s="1"/>
  <c r="G103" i="20" s="1"/>
  <c r="D102" i="20"/>
  <c r="D103" i="20"/>
  <c r="E112" i="20"/>
  <c r="F112" i="20"/>
  <c r="G112" i="20"/>
  <c r="E113" i="20"/>
  <c r="F113" i="20"/>
  <c r="G113" i="20"/>
  <c r="E114" i="20"/>
  <c r="F114" i="20"/>
  <c r="G114" i="20"/>
  <c r="D125" i="20"/>
  <c r="D126" i="20" s="1"/>
  <c r="E125" i="20"/>
  <c r="E126" i="20" s="1"/>
  <c r="F125" i="20"/>
  <c r="F126" i="20" s="1"/>
  <c r="G125" i="20"/>
  <c r="G126" i="20" s="1"/>
  <c r="D142" i="20"/>
  <c r="E142" i="20"/>
  <c r="F142" i="20"/>
  <c r="G142" i="20"/>
  <c r="E143" i="20"/>
  <c r="F143" i="20"/>
  <c r="G143" i="20"/>
  <c r="E144" i="20"/>
  <c r="F144" i="20"/>
  <c r="G144" i="20"/>
  <c r="D154" i="20"/>
  <c r="E154" i="20"/>
  <c r="F154" i="20"/>
  <c r="G154" i="20"/>
  <c r="G227" i="20" s="1"/>
  <c r="D156" i="20"/>
  <c r="E156" i="20"/>
  <c r="F156" i="20"/>
  <c r="G156" i="20"/>
  <c r="G157" i="20" s="1"/>
  <c r="D157" i="20"/>
  <c r="E157" i="20"/>
  <c r="F157" i="20"/>
  <c r="D173" i="20"/>
  <c r="E173" i="20"/>
  <c r="F173" i="20"/>
  <c r="G173" i="20"/>
  <c r="E174" i="20"/>
  <c r="F174" i="20"/>
  <c r="G174" i="20"/>
  <c r="E175" i="20"/>
  <c r="F175" i="20"/>
  <c r="G175" i="20"/>
  <c r="D186" i="20"/>
  <c r="D229" i="20" s="1"/>
  <c r="E186" i="20"/>
  <c r="F186" i="20"/>
  <c r="F229" i="20" s="1"/>
  <c r="G186" i="20"/>
  <c r="D187" i="20"/>
  <c r="E187" i="20"/>
  <c r="F187" i="20"/>
  <c r="F188" i="20" s="1"/>
  <c r="G187" i="20"/>
  <c r="G188" i="20" s="1"/>
  <c r="D188" i="20"/>
  <c r="E188" i="20"/>
  <c r="D199" i="20"/>
  <c r="E199" i="20"/>
  <c r="F199" i="20"/>
  <c r="G199" i="20"/>
  <c r="E200" i="20"/>
  <c r="F200" i="20"/>
  <c r="G200" i="20"/>
  <c r="E201" i="20"/>
  <c r="F201" i="20"/>
  <c r="G201" i="20"/>
  <c r="D208" i="20"/>
  <c r="E208" i="20"/>
  <c r="E209" i="20" s="1"/>
  <c r="F208" i="20"/>
  <c r="F209" i="20" s="1"/>
  <c r="G208" i="20"/>
  <c r="G209" i="20" s="1"/>
  <c r="D209" i="20"/>
  <c r="D217" i="20"/>
  <c r="E217" i="20"/>
  <c r="F217" i="20"/>
  <c r="G217" i="20"/>
  <c r="D219" i="20"/>
  <c r="E219" i="20"/>
  <c r="E220" i="20" s="1"/>
  <c r="F219" i="20"/>
  <c r="G219" i="20"/>
  <c r="D221" i="20"/>
  <c r="E221" i="20"/>
  <c r="F221" i="20"/>
  <c r="G221" i="20"/>
  <c r="E225" i="20"/>
  <c r="G225" i="20"/>
  <c r="D227" i="20"/>
  <c r="E227" i="20"/>
  <c r="F227" i="20"/>
  <c r="E229" i="20"/>
  <c r="G229" i="20"/>
  <c r="D231" i="20"/>
  <c r="E231" i="20"/>
  <c r="F231" i="20"/>
  <c r="G231" i="20"/>
  <c r="D233" i="20"/>
  <c r="F233" i="20"/>
  <c r="D41" i="18"/>
  <c r="E41" i="18"/>
  <c r="F41" i="18"/>
  <c r="G41" i="18"/>
  <c r="D44" i="18"/>
  <c r="E44" i="18"/>
  <c r="F44" i="18"/>
  <c r="G44" i="18"/>
  <c r="D56" i="18"/>
  <c r="E56" i="18"/>
  <c r="F56" i="18"/>
  <c r="G56" i="18"/>
  <c r="E57" i="18"/>
  <c r="F57" i="18"/>
  <c r="G57" i="18"/>
  <c r="E58" i="18"/>
  <c r="F58" i="18"/>
  <c r="G58" i="18"/>
  <c r="D64" i="18"/>
  <c r="D170" i="18" s="1"/>
  <c r="G67" i="18"/>
  <c r="G70" i="18" s="1"/>
  <c r="G71" i="18" s="1"/>
  <c r="E70" i="18"/>
  <c r="F70" i="18"/>
  <c r="F71" i="18" s="1"/>
  <c r="D89" i="18"/>
  <c r="E89" i="18"/>
  <c r="F89" i="18"/>
  <c r="G89" i="18"/>
  <c r="E90" i="18"/>
  <c r="F90" i="18"/>
  <c r="G90" i="18"/>
  <c r="E91" i="18"/>
  <c r="F91" i="18"/>
  <c r="G91" i="18"/>
  <c r="E100" i="18"/>
  <c r="F100" i="18"/>
  <c r="G100" i="18"/>
  <c r="D103" i="18"/>
  <c r="E103" i="18"/>
  <c r="E104" i="18" s="1"/>
  <c r="F103" i="18"/>
  <c r="F104" i="18" s="1"/>
  <c r="G103" i="18"/>
  <c r="G104" i="18" s="1"/>
  <c r="D104" i="18"/>
  <c r="D121" i="18"/>
  <c r="E121" i="18"/>
  <c r="F121" i="18"/>
  <c r="G124" i="18" s="1"/>
  <c r="G121" i="18"/>
  <c r="E122" i="18"/>
  <c r="F122" i="18"/>
  <c r="G122" i="18"/>
  <c r="E123" i="18"/>
  <c r="F123" i="18"/>
  <c r="G123" i="18"/>
  <c r="D129" i="18"/>
  <c r="D184" i="18" s="1"/>
  <c r="E129" i="18"/>
  <c r="E184" i="18" s="1"/>
  <c r="F129" i="18"/>
  <c r="F184" i="18" s="1"/>
  <c r="G129" i="18"/>
  <c r="G184" i="18" s="1"/>
  <c r="D130" i="18"/>
  <c r="D131" i="18" s="1"/>
  <c r="D147" i="18"/>
  <c r="E147" i="18"/>
  <c r="F147" i="18"/>
  <c r="G147" i="18"/>
  <c r="E148" i="18"/>
  <c r="F148" i="18"/>
  <c r="G148" i="18"/>
  <c r="E149" i="18"/>
  <c r="F149" i="18"/>
  <c r="G149" i="18"/>
  <c r="D158" i="18"/>
  <c r="D176" i="18" s="1"/>
  <c r="E158" i="18"/>
  <c r="F158" i="18"/>
  <c r="G158" i="18"/>
  <c r="D161" i="18"/>
  <c r="E161" i="18"/>
  <c r="E162" i="18" s="1"/>
  <c r="F161" i="18"/>
  <c r="F162" i="18" s="1"/>
  <c r="G161" i="18"/>
  <c r="G162" i="18" s="1"/>
  <c r="D162" i="18"/>
  <c r="D168" i="18"/>
  <c r="E168" i="18"/>
  <c r="F168" i="18"/>
  <c r="G168" i="18"/>
  <c r="E170" i="18"/>
  <c r="F170" i="18"/>
  <c r="G170" i="18"/>
  <c r="D172" i="18"/>
  <c r="E172" i="18"/>
  <c r="F172" i="18"/>
  <c r="G172" i="18"/>
  <c r="E22" i="17"/>
  <c r="E24" i="17" s="1"/>
  <c r="F22" i="17"/>
  <c r="F24" i="17" s="1"/>
  <c r="G22" i="17"/>
  <c r="G24" i="17"/>
  <c r="D33" i="17"/>
  <c r="D319" i="17" s="1"/>
  <c r="E33" i="17"/>
  <c r="F33" i="17"/>
  <c r="G33" i="17"/>
  <c r="D34" i="17"/>
  <c r="E35" i="17"/>
  <c r="F35" i="17"/>
  <c r="G35" i="17"/>
  <c r="D43" i="17"/>
  <c r="D37" i="34" s="1"/>
  <c r="E43" i="17"/>
  <c r="E37" i="34" s="1"/>
  <c r="F43" i="17"/>
  <c r="F37" i="34" s="1"/>
  <c r="G43" i="17"/>
  <c r="G37" i="34" s="1"/>
  <c r="D48" i="17"/>
  <c r="E48" i="17"/>
  <c r="E49" i="17" s="1"/>
  <c r="F48" i="17"/>
  <c r="G48" i="17"/>
  <c r="G49" i="17" s="1"/>
  <c r="D64" i="17"/>
  <c r="E64" i="17"/>
  <c r="F64" i="17"/>
  <c r="G64" i="17"/>
  <c r="G67" i="17" s="1"/>
  <c r="E65" i="17"/>
  <c r="F65" i="17"/>
  <c r="G65" i="17"/>
  <c r="E66" i="17"/>
  <c r="F66" i="17"/>
  <c r="G66" i="17"/>
  <c r="D73" i="17"/>
  <c r="E73" i="17"/>
  <c r="F73" i="17"/>
  <c r="G73" i="17"/>
  <c r="D78" i="17"/>
  <c r="E78" i="17"/>
  <c r="E79" i="17" s="1"/>
  <c r="F78" i="17"/>
  <c r="F79" i="17" s="1"/>
  <c r="G78" i="17"/>
  <c r="G79" i="17" s="1"/>
  <c r="E88" i="17"/>
  <c r="F88" i="17"/>
  <c r="G88" i="17"/>
  <c r="E89" i="17"/>
  <c r="F89" i="17"/>
  <c r="G89" i="17"/>
  <c r="E90" i="17"/>
  <c r="F90" i="17"/>
  <c r="G90" i="17"/>
  <c r="D96" i="17"/>
  <c r="E96" i="17"/>
  <c r="F96" i="17"/>
  <c r="G96" i="17"/>
  <c r="D101" i="17"/>
  <c r="E101" i="17"/>
  <c r="F101" i="17"/>
  <c r="G101" i="17"/>
  <c r="G102" i="17" s="1"/>
  <c r="D102" i="17"/>
  <c r="E102" i="17"/>
  <c r="F102" i="17"/>
  <c r="D110" i="17"/>
  <c r="E110" i="17"/>
  <c r="F110" i="17"/>
  <c r="G110" i="17"/>
  <c r="E111" i="17"/>
  <c r="F111" i="17"/>
  <c r="G111" i="17"/>
  <c r="E112" i="17"/>
  <c r="F112" i="17"/>
  <c r="G112" i="17"/>
  <c r="D123" i="17"/>
  <c r="D334" i="17" s="1"/>
  <c r="E123" i="17"/>
  <c r="F123" i="17"/>
  <c r="F334" i="17" s="1"/>
  <c r="G123" i="17"/>
  <c r="D124" i="17"/>
  <c r="E124" i="17"/>
  <c r="F124" i="17"/>
  <c r="G124" i="17"/>
  <c r="G125" i="17" s="1"/>
  <c r="D125" i="17"/>
  <c r="E125" i="17"/>
  <c r="E132" i="17"/>
  <c r="E135" i="17" s="1"/>
  <c r="F132" i="17"/>
  <c r="F142" i="17" s="1"/>
  <c r="G132" i="17"/>
  <c r="G142" i="17" s="1"/>
  <c r="E134" i="17"/>
  <c r="F134" i="17"/>
  <c r="G134" i="17"/>
  <c r="E136" i="17"/>
  <c r="F136" i="17"/>
  <c r="G136" i="17"/>
  <c r="D142" i="17"/>
  <c r="D165" i="17"/>
  <c r="E168" i="17" s="1"/>
  <c r="E165" i="17"/>
  <c r="F165" i="17"/>
  <c r="G165" i="17"/>
  <c r="E166" i="17"/>
  <c r="F166" i="17"/>
  <c r="G166" i="17"/>
  <c r="E167" i="17"/>
  <c r="F167" i="17"/>
  <c r="G167" i="17"/>
  <c r="D173" i="17"/>
  <c r="E173" i="17"/>
  <c r="E324" i="17" s="1"/>
  <c r="F173" i="17"/>
  <c r="F324" i="17" s="1"/>
  <c r="G173" i="17"/>
  <c r="D179" i="17"/>
  <c r="E179" i="17"/>
  <c r="E180" i="17" s="1"/>
  <c r="F179" i="17"/>
  <c r="F180" i="17" s="1"/>
  <c r="G179" i="17"/>
  <c r="G180" i="17" s="1"/>
  <c r="D180" i="17"/>
  <c r="D184" i="17"/>
  <c r="E184" i="17"/>
  <c r="F184" i="17"/>
  <c r="G184" i="17"/>
  <c r="D186" i="17"/>
  <c r="E186" i="17"/>
  <c r="F186" i="17"/>
  <c r="G186" i="17"/>
  <c r="D196" i="17"/>
  <c r="E199" i="17" s="1"/>
  <c r="E197" i="17"/>
  <c r="F197" i="17"/>
  <c r="G197" i="17"/>
  <c r="E198" i="17"/>
  <c r="F198" i="17"/>
  <c r="G198" i="17"/>
  <c r="F199" i="17"/>
  <c r="G199" i="17"/>
  <c r="D204" i="17"/>
  <c r="E204" i="17"/>
  <c r="F204" i="17"/>
  <c r="G204" i="17"/>
  <c r="G205" i="17" s="1"/>
  <c r="G206" i="17" s="1"/>
  <c r="D205" i="17"/>
  <c r="D206" i="17" s="1"/>
  <c r="E205" i="17"/>
  <c r="E206" i="17" s="1"/>
  <c r="F205" i="17"/>
  <c r="F206" i="17" s="1"/>
  <c r="D214" i="17"/>
  <c r="E214" i="17"/>
  <c r="E217" i="17" s="1"/>
  <c r="F214" i="17"/>
  <c r="G214" i="17"/>
  <c r="E215" i="17"/>
  <c r="F215" i="17"/>
  <c r="G215" i="17"/>
  <c r="E216" i="17"/>
  <c r="F216" i="17"/>
  <c r="G216" i="17"/>
  <c r="D222" i="17"/>
  <c r="E222" i="17"/>
  <c r="F222" i="17"/>
  <c r="F223" i="17" s="1"/>
  <c r="F224" i="17" s="1"/>
  <c r="G222" i="17"/>
  <c r="G223" i="17" s="1"/>
  <c r="G224" i="17" s="1"/>
  <c r="D223" i="17"/>
  <c r="D224" i="17" s="1"/>
  <c r="E223" i="17"/>
  <c r="E224" i="17" s="1"/>
  <c r="D232" i="17"/>
  <c r="E232" i="17"/>
  <c r="F232" i="17"/>
  <c r="G232" i="17"/>
  <c r="E233" i="17"/>
  <c r="F233" i="17"/>
  <c r="G233" i="17"/>
  <c r="E234" i="17"/>
  <c r="F234" i="17"/>
  <c r="G234" i="17"/>
  <c r="D240" i="17"/>
  <c r="D144" i="34" s="1"/>
  <c r="E240" i="17"/>
  <c r="F240" i="17"/>
  <c r="F144" i="34" s="1"/>
  <c r="G240" i="17"/>
  <c r="D241" i="17"/>
  <c r="E241" i="17"/>
  <c r="E242" i="17" s="1"/>
  <c r="F241" i="17"/>
  <c r="F242" i="17" s="1"/>
  <c r="G241" i="17"/>
  <c r="G242" i="17" s="1"/>
  <c r="D242" i="17"/>
  <c r="D257" i="17"/>
  <c r="E257" i="17"/>
  <c r="F257" i="17"/>
  <c r="G257" i="17"/>
  <c r="E258" i="17"/>
  <c r="F258" i="17"/>
  <c r="G258" i="17"/>
  <c r="E259" i="17"/>
  <c r="F259" i="17"/>
  <c r="G259" i="17"/>
  <c r="D265" i="17"/>
  <c r="E265" i="17"/>
  <c r="F265" i="17"/>
  <c r="G265" i="17"/>
  <c r="D266" i="17"/>
  <c r="D267" i="17" s="1"/>
  <c r="E266" i="17"/>
  <c r="E267" i="17" s="1"/>
  <c r="F266" i="17"/>
  <c r="F267" i="17" s="1"/>
  <c r="G266" i="17"/>
  <c r="G267" i="17" s="1"/>
  <c r="E282" i="17"/>
  <c r="E283" i="17"/>
  <c r="E284" i="17"/>
  <c r="D289" i="17"/>
  <c r="E289" i="17"/>
  <c r="E290" i="17" s="1"/>
  <c r="E291" i="17" s="1"/>
  <c r="F289" i="17"/>
  <c r="F290" i="17" s="1"/>
  <c r="F291" i="17" s="1"/>
  <c r="G289" i="17"/>
  <c r="G290" i="17" s="1"/>
  <c r="G291" i="17" s="1"/>
  <c r="D290" i="17"/>
  <c r="D291" i="17" s="1"/>
  <c r="G305" i="17"/>
  <c r="G308" i="17" s="1"/>
  <c r="E306" i="17"/>
  <c r="F306" i="17"/>
  <c r="G306" i="17"/>
  <c r="E307" i="17"/>
  <c r="F307" i="17"/>
  <c r="G307" i="17"/>
  <c r="E308" i="17"/>
  <c r="F308" i="17"/>
  <c r="D313" i="17"/>
  <c r="E313" i="17"/>
  <c r="F313" i="17"/>
  <c r="G313" i="17"/>
  <c r="G314" i="17" s="1"/>
  <c r="G315" i="17" s="1"/>
  <c r="D314" i="17"/>
  <c r="E314" i="17"/>
  <c r="E315" i="17" s="1"/>
  <c r="F314" i="17"/>
  <c r="F315" i="17" s="1"/>
  <c r="D315" i="17"/>
  <c r="D322" i="17"/>
  <c r="E322" i="17"/>
  <c r="F322" i="17"/>
  <c r="G322" i="17"/>
  <c r="D324" i="17"/>
  <c r="G324" i="17"/>
  <c r="E334" i="17"/>
  <c r="E335" i="17" s="1"/>
  <c r="G334" i="17"/>
  <c r="G335" i="17" s="1"/>
  <c r="D336" i="17"/>
  <c r="E336" i="17"/>
  <c r="F336" i="17"/>
  <c r="G336" i="17"/>
  <c r="D15" i="14"/>
  <c r="E15" i="14"/>
  <c r="F15" i="14"/>
  <c r="G15" i="14"/>
  <c r="D20" i="14"/>
  <c r="E20" i="14"/>
  <c r="F20" i="14"/>
  <c r="G20" i="14"/>
  <c r="E27" i="14"/>
  <c r="F27" i="14"/>
  <c r="G27" i="14"/>
  <c r="E40" i="14"/>
  <c r="F40" i="14"/>
  <c r="G40" i="14"/>
  <c r="D48" i="14"/>
  <c r="D53" i="14" s="1"/>
  <c r="D54" i="14" s="1"/>
  <c r="D58" i="14"/>
  <c r="E58" i="14"/>
  <c r="F58" i="14"/>
  <c r="G58" i="14"/>
  <c r="G77" i="14"/>
  <c r="E75" i="14"/>
  <c r="F75" i="14"/>
  <c r="G75" i="14"/>
  <c r="E76" i="14"/>
  <c r="F76" i="14"/>
  <c r="G76" i="14"/>
  <c r="E77" i="14"/>
  <c r="F77" i="14"/>
  <c r="D83" i="14"/>
  <c r="E83" i="14"/>
  <c r="F83" i="14"/>
  <c r="G83" i="14"/>
  <c r="D88" i="14"/>
  <c r="D89" i="14" s="1"/>
  <c r="E88" i="14"/>
  <c r="E89" i="14" s="1"/>
  <c r="F88" i="14"/>
  <c r="F89" i="14" s="1"/>
  <c r="G88" i="14"/>
  <c r="G89" i="14" s="1"/>
  <c r="D97" i="14"/>
  <c r="E100" i="14" s="1"/>
  <c r="F97" i="14"/>
  <c r="G97" i="14"/>
  <c r="E98" i="14"/>
  <c r="F98" i="14"/>
  <c r="G98" i="14"/>
  <c r="E99" i="14"/>
  <c r="F99" i="14"/>
  <c r="G99" i="14"/>
  <c r="F100" i="14"/>
  <c r="D111" i="14"/>
  <c r="E111" i="14"/>
  <c r="F111" i="14"/>
  <c r="G111" i="14"/>
  <c r="D112" i="14"/>
  <c r="E112" i="14"/>
  <c r="F112" i="14"/>
  <c r="G112" i="14"/>
  <c r="D115" i="14"/>
  <c r="E117" i="14"/>
  <c r="F117" i="14" s="1"/>
  <c r="F115" i="14" s="1"/>
  <c r="F127" i="14"/>
  <c r="F130" i="14" s="1"/>
  <c r="G127" i="14"/>
  <c r="E128" i="14"/>
  <c r="F128" i="14"/>
  <c r="G128" i="14"/>
  <c r="E129" i="14"/>
  <c r="F129" i="14"/>
  <c r="G129" i="14"/>
  <c r="E130" i="14"/>
  <c r="D140" i="14"/>
  <c r="D377" i="14" s="1"/>
  <c r="E140" i="14"/>
  <c r="F140" i="14"/>
  <c r="F377" i="14" s="1"/>
  <c r="G140" i="14"/>
  <c r="D141" i="14"/>
  <c r="E141" i="14"/>
  <c r="F141" i="14"/>
  <c r="G141" i="14"/>
  <c r="D142" i="14"/>
  <c r="E142" i="14"/>
  <c r="F142" i="14"/>
  <c r="G142" i="14"/>
  <c r="E161" i="14"/>
  <c r="F161" i="14"/>
  <c r="G161" i="14"/>
  <c r="E162" i="14"/>
  <c r="F162" i="14"/>
  <c r="G162" i="14"/>
  <c r="D167" i="14"/>
  <c r="D365" i="14" s="1"/>
  <c r="E167" i="14"/>
  <c r="F167" i="14"/>
  <c r="F365" i="14" s="1"/>
  <c r="G167" i="14"/>
  <c r="G365" i="14" s="1"/>
  <c r="D168" i="14"/>
  <c r="D367" i="14" s="1"/>
  <c r="E168" i="14"/>
  <c r="E48" i="32" s="1"/>
  <c r="E156" i="32" s="1"/>
  <c r="E157" i="32" s="1"/>
  <c r="F168" i="14"/>
  <c r="G168" i="14"/>
  <c r="D174" i="14"/>
  <c r="E174" i="14"/>
  <c r="E175" i="14" s="1"/>
  <c r="F174" i="14"/>
  <c r="F175" i="14" s="1"/>
  <c r="G174" i="14"/>
  <c r="G175" i="14" s="1"/>
  <c r="D175" i="14"/>
  <c r="E185" i="14"/>
  <c r="F185" i="14"/>
  <c r="G185" i="14"/>
  <c r="E197" i="14"/>
  <c r="E198" i="14" s="1"/>
  <c r="F197" i="14"/>
  <c r="F198" i="14" s="1"/>
  <c r="G197" i="14"/>
  <c r="G198" i="14" s="1"/>
  <c r="D201" i="14"/>
  <c r="D203" i="14"/>
  <c r="E203" i="14"/>
  <c r="F203" i="14"/>
  <c r="G203" i="14"/>
  <c r="E205" i="14"/>
  <c r="E217" i="14"/>
  <c r="F217" i="14"/>
  <c r="G217" i="14"/>
  <c r="E218" i="14"/>
  <c r="F218" i="14"/>
  <c r="G218" i="14"/>
  <c r="D225" i="14"/>
  <c r="E225" i="14"/>
  <c r="F225" i="14"/>
  <c r="G225" i="14"/>
  <c r="G230" i="14" s="1"/>
  <c r="G231" i="14" s="1"/>
  <c r="D230" i="14"/>
  <c r="E230" i="14"/>
  <c r="E231" i="14" s="1"/>
  <c r="F230" i="14"/>
  <c r="F231" i="14" s="1"/>
  <c r="D231" i="14"/>
  <c r="E247" i="14"/>
  <c r="F247" i="14"/>
  <c r="G247" i="14"/>
  <c r="D255" i="14"/>
  <c r="D260" i="14" s="1"/>
  <c r="D261" i="14" s="1"/>
  <c r="E272" i="14"/>
  <c r="F272" i="14"/>
  <c r="G272" i="14"/>
  <c r="E273" i="14"/>
  <c r="F273" i="14"/>
  <c r="G273" i="14"/>
  <c r="E274" i="14"/>
  <c r="F274" i="14"/>
  <c r="G274" i="14"/>
  <c r="D279" i="14"/>
  <c r="D280" i="14" s="1"/>
  <c r="E280" i="14"/>
  <c r="F280" i="14"/>
  <c r="G280" i="14"/>
  <c r="G294" i="14"/>
  <c r="E292" i="14"/>
  <c r="F292" i="14"/>
  <c r="G292" i="14"/>
  <c r="E293" i="14"/>
  <c r="F293" i="14"/>
  <c r="G293" i="14"/>
  <c r="E294" i="14"/>
  <c r="F294" i="14"/>
  <c r="D299" i="14"/>
  <c r="E299" i="14"/>
  <c r="F299" i="14"/>
  <c r="G299" i="14"/>
  <c r="D300" i="14"/>
  <c r="E300" i="14"/>
  <c r="F300" i="14"/>
  <c r="G300" i="14"/>
  <c r="D310" i="14"/>
  <c r="D362" i="14" s="1"/>
  <c r="E310" i="14"/>
  <c r="E362" i="14" s="1"/>
  <c r="E312" i="14"/>
  <c r="F312" i="14"/>
  <c r="G312" i="14"/>
  <c r="F313" i="14"/>
  <c r="G313" i="14"/>
  <c r="G314" i="14"/>
  <c r="F319" i="14"/>
  <c r="F320" i="14" s="1"/>
  <c r="F322" i="14" s="1"/>
  <c r="G319" i="14"/>
  <c r="D330" i="14"/>
  <c r="G333" i="14"/>
  <c r="E331" i="14"/>
  <c r="F331" i="14"/>
  <c r="G331" i="14"/>
  <c r="E332" i="14"/>
  <c r="F332" i="14"/>
  <c r="G332" i="14"/>
  <c r="E333" i="14"/>
  <c r="F333" i="14"/>
  <c r="D338" i="14"/>
  <c r="D339" i="14" s="1"/>
  <c r="D341" i="14" s="1"/>
  <c r="E338" i="14"/>
  <c r="F338" i="14"/>
  <c r="G338" i="14"/>
  <c r="E339" i="14"/>
  <c r="E341" i="14" s="1"/>
  <c r="F339" i="14"/>
  <c r="F341" i="14" s="1"/>
  <c r="G339" i="14"/>
  <c r="G341" i="14" s="1"/>
  <c r="E350" i="14"/>
  <c r="F350" i="14"/>
  <c r="G350" i="14"/>
  <c r="E351" i="14"/>
  <c r="F351" i="14"/>
  <c r="G351" i="14"/>
  <c r="E352" i="14"/>
  <c r="F352" i="14"/>
  <c r="G352" i="14"/>
  <c r="D357" i="14"/>
  <c r="D358" i="14" s="1"/>
  <c r="D360" i="14" s="1"/>
  <c r="E357" i="14"/>
  <c r="F357" i="14"/>
  <c r="G357" i="14"/>
  <c r="E358" i="14"/>
  <c r="E360" i="14" s="1"/>
  <c r="F358" i="14"/>
  <c r="F360" i="14" s="1"/>
  <c r="G358" i="14"/>
  <c r="G360" i="14" s="1"/>
  <c r="E367" i="14"/>
  <c r="D371" i="14"/>
  <c r="E371" i="14"/>
  <c r="F371" i="14"/>
  <c r="G371" i="14"/>
  <c r="D373" i="14"/>
  <c r="E373" i="14"/>
  <c r="F373" i="14"/>
  <c r="G373" i="14"/>
  <c r="D375" i="14"/>
  <c r="E375" i="14"/>
  <c r="F375" i="14"/>
  <c r="G375" i="14"/>
  <c r="E377" i="14"/>
  <c r="E378" i="14" s="1"/>
  <c r="G377" i="14"/>
  <c r="D379" i="14"/>
  <c r="E379" i="14"/>
  <c r="F379" i="14"/>
  <c r="G379" i="14"/>
  <c r="C383" i="22" l="1"/>
  <c r="C373" i="22" s="1"/>
  <c r="E363" i="22"/>
  <c r="D46" i="22"/>
  <c r="F383" i="22"/>
  <c r="D363" i="22"/>
  <c r="D70" i="22"/>
  <c r="D191" i="22"/>
  <c r="F216" i="22"/>
  <c r="F98" i="22"/>
  <c r="D392" i="22"/>
  <c r="E141" i="22"/>
  <c r="E241" i="22"/>
  <c r="E383" i="22"/>
  <c r="E70" i="22"/>
  <c r="F141" i="22"/>
  <c r="D167" i="22"/>
  <c r="D265" i="22"/>
  <c r="D289" i="22"/>
  <c r="F313" i="22"/>
  <c r="D334" i="22"/>
  <c r="D372" i="22"/>
  <c r="D98" i="22"/>
  <c r="E117" i="22"/>
  <c r="E167" i="22"/>
  <c r="F191" i="22"/>
  <c r="D216" i="22"/>
  <c r="E334" i="22"/>
  <c r="E372" i="22"/>
  <c r="E378" i="22"/>
  <c r="F46" i="22"/>
  <c r="D383" i="22"/>
  <c r="D141" i="22"/>
  <c r="E265" i="22"/>
  <c r="F289" i="22"/>
  <c r="D313" i="22"/>
  <c r="F372" i="22"/>
  <c r="D378" i="22"/>
  <c r="E202" i="20"/>
  <c r="G145" i="20"/>
  <c r="G67" i="20"/>
  <c r="G176" i="20"/>
  <c r="F96" i="20"/>
  <c r="G218" i="20"/>
  <c r="G202" i="20"/>
  <c r="F230" i="20"/>
  <c r="E145" i="20"/>
  <c r="F220" i="20"/>
  <c r="F215" i="20"/>
  <c r="F235" i="20" s="1"/>
  <c r="E226" i="20"/>
  <c r="E218" i="20"/>
  <c r="E215" i="20"/>
  <c r="E235" i="20" s="1"/>
  <c r="F67" i="20"/>
  <c r="D177" i="30"/>
  <c r="D215" i="20"/>
  <c r="D235" i="20" s="1"/>
  <c r="F176" i="20"/>
  <c r="G325" i="17"/>
  <c r="F217" i="17"/>
  <c r="G260" i="17"/>
  <c r="F113" i="17"/>
  <c r="E235" i="17"/>
  <c r="E142" i="17"/>
  <c r="E113" i="17"/>
  <c r="F135" i="17"/>
  <c r="F335" i="17"/>
  <c r="E34" i="17"/>
  <c r="E37" i="17" s="1"/>
  <c r="E319" i="17"/>
  <c r="G319" i="17"/>
  <c r="F235" i="17"/>
  <c r="F168" i="17"/>
  <c r="F319" i="17"/>
  <c r="F92" i="18"/>
  <c r="F124" i="18"/>
  <c r="D166" i="18"/>
  <c r="D186" i="18" s="1"/>
  <c r="G130" i="18"/>
  <c r="G131" i="18" s="1"/>
  <c r="E124" i="18"/>
  <c r="G59" i="18"/>
  <c r="E47" i="32"/>
  <c r="E365" i="14"/>
  <c r="G130" i="14"/>
  <c r="G100" i="14"/>
  <c r="G381" i="14"/>
  <c r="F48" i="32"/>
  <c r="F156" i="32" s="1"/>
  <c r="F157" i="32" s="1"/>
  <c r="F367" i="14"/>
  <c r="D47" i="32"/>
  <c r="F378" i="14"/>
  <c r="G144" i="34"/>
  <c r="G338" i="17"/>
  <c r="D75" i="34"/>
  <c r="D147" i="17"/>
  <c r="D148" i="17" s="1"/>
  <c r="E42" i="34"/>
  <c r="E59" i="18"/>
  <c r="F59" i="18"/>
  <c r="G378" i="14"/>
  <c r="E368" i="14"/>
  <c r="G320" i="14"/>
  <c r="G322" i="14" s="1"/>
  <c r="F381" i="14"/>
  <c r="E201" i="14"/>
  <c r="F205" i="14"/>
  <c r="G117" i="14"/>
  <c r="G115" i="14" s="1"/>
  <c r="E36" i="17"/>
  <c r="D49" i="17"/>
  <c r="E366" i="14"/>
  <c r="F47" i="32"/>
  <c r="E338" i="17"/>
  <c r="E144" i="34"/>
  <c r="F326" i="17"/>
  <c r="F75" i="34"/>
  <c r="F147" i="17"/>
  <c r="F148" i="17" s="1"/>
  <c r="D319" i="14"/>
  <c r="D311" i="14"/>
  <c r="D119" i="32"/>
  <c r="E313" i="14"/>
  <c r="E115" i="14"/>
  <c r="E230" i="20"/>
  <c r="E349" i="22"/>
  <c r="D379" i="22"/>
  <c r="D380" i="22" s="1"/>
  <c r="E311" i="14"/>
  <c r="E119" i="32"/>
  <c r="D369" i="14"/>
  <c r="E54" i="32"/>
  <c r="E154" i="32"/>
  <c r="F325" i="17"/>
  <c r="D338" i="17"/>
  <c r="F147" i="34"/>
  <c r="F145" i="34"/>
  <c r="F153" i="34"/>
  <c r="G217" i="17"/>
  <c r="G113" i="17"/>
  <c r="E67" i="17"/>
  <c r="D42" i="34"/>
  <c r="G36" i="17"/>
  <c r="G226" i="20"/>
  <c r="G220" i="20"/>
  <c r="F202" i="20"/>
  <c r="E176" i="20"/>
  <c r="G228" i="20"/>
  <c r="G96" i="20"/>
  <c r="E37" i="20"/>
  <c r="F70" i="22"/>
  <c r="D117" i="22"/>
  <c r="F167" i="22"/>
  <c r="E216" i="22"/>
  <c r="F241" i="22"/>
  <c r="F265" i="22"/>
  <c r="E313" i="22"/>
  <c r="D336" i="22"/>
  <c r="F349" i="22"/>
  <c r="F363" i="22"/>
  <c r="E391" i="22"/>
  <c r="E392" i="22" s="1"/>
  <c r="F286" i="23"/>
  <c r="C287" i="23"/>
  <c r="C288" i="23" s="1"/>
  <c r="G42" i="34"/>
  <c r="F49" i="17"/>
  <c r="F34" i="17"/>
  <c r="G34" i="17" s="1"/>
  <c r="G37" i="17" s="1"/>
  <c r="F226" i="20"/>
  <c r="F117" i="22"/>
  <c r="C349" i="22"/>
  <c r="G367" i="14"/>
  <c r="G48" i="32"/>
  <c r="G156" i="32" s="1"/>
  <c r="G157" i="32" s="1"/>
  <c r="G47" i="32"/>
  <c r="E260" i="17"/>
  <c r="D153" i="34"/>
  <c r="D145" i="34"/>
  <c r="G147" i="17"/>
  <c r="G148" i="17" s="1"/>
  <c r="G75" i="34"/>
  <c r="D326" i="17"/>
  <c r="D320" i="17" s="1"/>
  <c r="D340" i="17" s="1"/>
  <c r="F42" i="34"/>
  <c r="E92" i="18"/>
  <c r="D70" i="18"/>
  <c r="D71" i="18" s="1"/>
  <c r="G233" i="20"/>
  <c r="G234" i="20" s="1"/>
  <c r="E67" i="20"/>
  <c r="E98" i="22"/>
  <c r="E191" i="22"/>
  <c r="D241" i="22"/>
  <c r="E289" i="22"/>
  <c r="D349" i="22"/>
  <c r="F378" i="22"/>
  <c r="D287" i="23"/>
  <c r="E130" i="18"/>
  <c r="E131" i="18" s="1"/>
  <c r="F176" i="18"/>
  <c r="F166" i="18" s="1"/>
  <c r="F186" i="18" s="1"/>
  <c r="F185" i="18"/>
  <c r="E176" i="18"/>
  <c r="E166" i="18" s="1"/>
  <c r="G150" i="18"/>
  <c r="G92" i="18"/>
  <c r="G176" i="18"/>
  <c r="G177" i="18" s="1"/>
  <c r="F130" i="18"/>
  <c r="E150" i="18"/>
  <c r="G185" i="18"/>
  <c r="E71" i="18"/>
  <c r="F150" i="18"/>
  <c r="E185" i="18"/>
  <c r="F268" i="23"/>
  <c r="D268" i="23"/>
  <c r="E268" i="23"/>
  <c r="I191" i="23"/>
  <c r="I183" i="23" s="1"/>
  <c r="E274" i="23"/>
  <c r="D274" i="23"/>
  <c r="I92" i="23"/>
  <c r="I88" i="23" s="1"/>
  <c r="H88" i="23"/>
  <c r="E287" i="23"/>
  <c r="C65" i="23"/>
  <c r="F287" i="23"/>
  <c r="F274" i="23"/>
  <c r="C153" i="22"/>
  <c r="C395" i="22"/>
  <c r="D153" i="22"/>
  <c r="D395" i="22"/>
  <c r="D325" i="22"/>
  <c r="C393" i="22"/>
  <c r="C394" i="22" s="1"/>
  <c r="C325" i="22"/>
  <c r="E395" i="22"/>
  <c r="E153" i="22"/>
  <c r="E325" i="22"/>
  <c r="F153" i="22"/>
  <c r="F395" i="22"/>
  <c r="F325" i="22"/>
  <c r="F334" i="22"/>
  <c r="F337" i="22" s="1"/>
  <c r="F57" i="22"/>
  <c r="D104" i="22"/>
  <c r="D105" i="22" s="1"/>
  <c r="C334" i="22"/>
  <c r="D337" i="22" s="1"/>
  <c r="E336" i="22"/>
  <c r="E379" i="22"/>
  <c r="F391" i="22"/>
  <c r="E57" i="22"/>
  <c r="C57" i="22"/>
  <c r="F336" i="22"/>
  <c r="F379" i="22"/>
  <c r="F373" i="22" s="1"/>
  <c r="C300" i="22"/>
  <c r="C301" i="22" s="1"/>
  <c r="D57" i="22"/>
  <c r="E234" i="20"/>
  <c r="F234" i="20"/>
  <c r="F213" i="20"/>
  <c r="G230" i="20"/>
  <c r="E228" i="20"/>
  <c r="F218" i="20"/>
  <c r="D213" i="20"/>
  <c r="F145" i="20"/>
  <c r="F37" i="20"/>
  <c r="E102" i="20"/>
  <c r="F228" i="20"/>
  <c r="F177" i="18"/>
  <c r="D147" i="26"/>
  <c r="D164" i="18"/>
  <c r="G326" i="17"/>
  <c r="G320" i="17" s="1"/>
  <c r="E325" i="17"/>
  <c r="F125" i="17"/>
  <c r="D79" i="17"/>
  <c r="F338" i="17"/>
  <c r="F260" i="17"/>
  <c r="G235" i="17"/>
  <c r="G168" i="17"/>
  <c r="G135" i="17"/>
  <c r="F67" i="17"/>
  <c r="F36" i="17"/>
  <c r="E314" i="14"/>
  <c r="F314" i="14"/>
  <c r="E163" i="14"/>
  <c r="F366" i="14"/>
  <c r="E219" i="14"/>
  <c r="E186" i="14"/>
  <c r="E319" i="14"/>
  <c r="F392" i="22" l="1"/>
  <c r="D393" i="22"/>
  <c r="D394" i="22" s="1"/>
  <c r="E373" i="22"/>
  <c r="E337" i="22"/>
  <c r="D373" i="22"/>
  <c r="G215" i="20"/>
  <c r="F320" i="17"/>
  <c r="F340" i="17" s="1"/>
  <c r="E75" i="34"/>
  <c r="E147" i="17"/>
  <c r="E148" i="17" s="1"/>
  <c r="E326" i="17"/>
  <c r="E320" i="17" s="1"/>
  <c r="G340" i="17"/>
  <c r="F37" i="17"/>
  <c r="E339" i="17"/>
  <c r="E177" i="18"/>
  <c r="E186" i="18"/>
  <c r="E147" i="26" s="1"/>
  <c r="E164" i="18"/>
  <c r="F147" i="26"/>
  <c r="G166" i="18"/>
  <c r="G368" i="14"/>
  <c r="F368" i="14"/>
  <c r="E177" i="30"/>
  <c r="G159" i="34"/>
  <c r="G85" i="34"/>
  <c r="G78" i="34"/>
  <c r="D154" i="34"/>
  <c r="D155" i="34" s="1"/>
  <c r="D178" i="34"/>
  <c r="J185" i="34" s="1"/>
  <c r="F154" i="34"/>
  <c r="F155" i="34" s="1"/>
  <c r="F178" i="34"/>
  <c r="E55" i="32"/>
  <c r="F154" i="32"/>
  <c r="F54" i="32"/>
  <c r="D159" i="34"/>
  <c r="D85" i="34"/>
  <c r="F339" i="17"/>
  <c r="G321" i="17"/>
  <c r="F43" i="34"/>
  <c r="G154" i="32"/>
  <c r="G54" i="32"/>
  <c r="D43" i="34"/>
  <c r="E78" i="34"/>
  <c r="D320" i="14"/>
  <c r="D381" i="14"/>
  <c r="D363" i="14" s="1"/>
  <c r="D383" i="14" s="1"/>
  <c r="E153" i="34"/>
  <c r="E147" i="34"/>
  <c r="E145" i="34"/>
  <c r="E148" i="34" s="1"/>
  <c r="G205" i="14"/>
  <c r="G201" i="14" s="1"/>
  <c r="F201" i="14"/>
  <c r="G43" i="34"/>
  <c r="E128" i="32"/>
  <c r="F122" i="32"/>
  <c r="E120" i="32"/>
  <c r="F123" i="32" s="1"/>
  <c r="E151" i="32"/>
  <c r="I160" i="32" s="1"/>
  <c r="E122" i="32"/>
  <c r="E43" i="34"/>
  <c r="G145" i="34"/>
  <c r="G148" i="34" s="1"/>
  <c r="G147" i="34"/>
  <c r="G153" i="34"/>
  <c r="D154" i="32"/>
  <c r="D54" i="32"/>
  <c r="G366" i="14"/>
  <c r="G382" i="14"/>
  <c r="E380" i="22"/>
  <c r="F177" i="30"/>
  <c r="I159" i="32"/>
  <c r="D151" i="32"/>
  <c r="H160" i="32" s="1"/>
  <c r="D128" i="32"/>
  <c r="D120" i="32"/>
  <c r="E123" i="32" s="1"/>
  <c r="F78" i="34"/>
  <c r="F85" i="34"/>
  <c r="F159" i="34"/>
  <c r="D288" i="23"/>
  <c r="E288" i="23"/>
  <c r="F288" i="23"/>
  <c r="F131" i="18"/>
  <c r="G167" i="18"/>
  <c r="E167" i="18"/>
  <c r="E58" i="22"/>
  <c r="D58" i="22"/>
  <c r="F374" i="22"/>
  <c r="F58" i="22"/>
  <c r="F393" i="22"/>
  <c r="F394" i="22" s="1"/>
  <c r="F380" i="22"/>
  <c r="C58" i="22"/>
  <c r="E393" i="22"/>
  <c r="E394" i="22" s="1"/>
  <c r="E103" i="20"/>
  <c r="G327" i="17"/>
  <c r="G339" i="17"/>
  <c r="E320" i="14"/>
  <c r="E322" i="14" s="1"/>
  <c r="E381" i="14"/>
  <c r="G186" i="14"/>
  <c r="F186" i="14"/>
  <c r="G163" i="14"/>
  <c r="F163" i="14"/>
  <c r="F219" i="14"/>
  <c r="G219" i="14"/>
  <c r="G235" i="20" l="1"/>
  <c r="G213" i="20"/>
  <c r="G216" i="20"/>
  <c r="E321" i="17"/>
  <c r="F321" i="17"/>
  <c r="E340" i="17"/>
  <c r="F346" i="33"/>
  <c r="E85" i="34"/>
  <c r="E159" i="34"/>
  <c r="E327" i="17"/>
  <c r="F327" i="17"/>
  <c r="G186" i="18"/>
  <c r="G147" i="26" s="1"/>
  <c r="G164" i="18"/>
  <c r="F92" i="34"/>
  <c r="F166" i="34"/>
  <c r="D346" i="33"/>
  <c r="H159" i="32"/>
  <c r="D322" i="14"/>
  <c r="F155" i="32"/>
  <c r="J159" i="32"/>
  <c r="F172" i="32"/>
  <c r="G92" i="34"/>
  <c r="G166" i="34"/>
  <c r="G346" i="33"/>
  <c r="D129" i="32"/>
  <c r="D131" i="32" s="1"/>
  <c r="D170" i="32"/>
  <c r="H158" i="32" s="1"/>
  <c r="E155" i="32"/>
  <c r="G154" i="34"/>
  <c r="G155" i="34" s="1"/>
  <c r="G178" i="34"/>
  <c r="F148" i="34"/>
  <c r="G152" i="32"/>
  <c r="G55" i="32"/>
  <c r="D92" i="34"/>
  <c r="D166" i="34"/>
  <c r="E129" i="32"/>
  <c r="E170" i="32"/>
  <c r="E154" i="34"/>
  <c r="E178" i="34"/>
  <c r="F179" i="34" s="1"/>
  <c r="K159" i="32"/>
  <c r="G155" i="32"/>
  <c r="G172" i="32"/>
  <c r="D55" i="32"/>
  <c r="F55" i="32"/>
  <c r="F152" i="32"/>
  <c r="L185" i="34"/>
  <c r="F164" i="18"/>
  <c r="F167" i="18"/>
  <c r="D374" i="22"/>
  <c r="E374" i="22"/>
  <c r="E216" i="20"/>
  <c r="E213" i="20"/>
  <c r="F216" i="20"/>
  <c r="F382" i="14"/>
  <c r="E382" i="14"/>
  <c r="G177" i="30" l="1"/>
  <c r="E346" i="33"/>
  <c r="E92" i="34"/>
  <c r="E93" i="34" s="1"/>
  <c r="E166" i="34"/>
  <c r="K173" i="34" s="1"/>
  <c r="J173" i="34"/>
  <c r="D180" i="34"/>
  <c r="F180" i="34"/>
  <c r="L173" i="34"/>
  <c r="D175" i="32"/>
  <c r="D392" i="31"/>
  <c r="I158" i="32"/>
  <c r="F171" i="32"/>
  <c r="E171" i="32"/>
  <c r="E172" i="32"/>
  <c r="G93" i="34"/>
  <c r="G160" i="34"/>
  <c r="J161" i="32"/>
  <c r="D152" i="32"/>
  <c r="H161" i="32" s="1"/>
  <c r="E131" i="32"/>
  <c r="E152" i="32"/>
  <c r="G153" i="32"/>
  <c r="K161" i="32"/>
  <c r="D172" i="32"/>
  <c r="K185" i="34"/>
  <c r="E179" i="34"/>
  <c r="E155" i="34"/>
  <c r="E160" i="34"/>
  <c r="D93" i="34"/>
  <c r="D160" i="34"/>
  <c r="G179" i="34"/>
  <c r="M185" i="34"/>
  <c r="G167" i="34"/>
  <c r="M173" i="34"/>
  <c r="G180" i="34"/>
  <c r="E180" i="34"/>
  <c r="F93" i="34"/>
  <c r="F160" i="34"/>
  <c r="C18" i="8"/>
  <c r="E167" i="34" l="1"/>
  <c r="F161" i="34"/>
  <c r="F167" i="34"/>
  <c r="D183" i="34"/>
  <c r="J184" i="34"/>
  <c r="E153" i="32"/>
  <c r="I161" i="32"/>
  <c r="F153" i="32"/>
  <c r="F183" i="34"/>
  <c r="L184" i="34"/>
  <c r="E183" i="34"/>
  <c r="K184" i="34"/>
  <c r="E161" i="34"/>
  <c r="G161" i="34"/>
  <c r="M184" i="34"/>
  <c r="G183" i="34"/>
  <c r="P5" i="11"/>
  <c r="Q5" i="11"/>
  <c r="R5" i="11"/>
  <c r="U5" i="11"/>
  <c r="V5" i="11"/>
  <c r="W5" i="11"/>
  <c r="X5" i="11"/>
  <c r="Y5" i="11"/>
  <c r="Z5" i="11"/>
  <c r="AA5" i="11"/>
  <c r="AB5" i="11"/>
  <c r="AC5" i="11"/>
  <c r="AD5" i="11"/>
  <c r="AE5" i="11"/>
  <c r="AF5" i="11"/>
  <c r="AG5" i="11"/>
  <c r="AH5" i="11"/>
  <c r="AI5" i="11"/>
  <c r="L6" i="11"/>
  <c r="S6" i="11"/>
  <c r="T6" i="11"/>
  <c r="L7" i="11"/>
  <c r="S7" i="11"/>
  <c r="T7" i="11"/>
  <c r="L8" i="11"/>
  <c r="L9" i="11"/>
  <c r="M9" i="11"/>
  <c r="M5" i="11" s="1"/>
  <c r="L10" i="11"/>
  <c r="S10" i="11"/>
  <c r="T10" i="11"/>
  <c r="L11" i="11"/>
  <c r="L12" i="11"/>
  <c r="L13" i="11"/>
  <c r="L14" i="11"/>
  <c r="L15" i="11"/>
  <c r="L16" i="11"/>
  <c r="N18" i="11"/>
  <c r="O18" i="11"/>
  <c r="O4" i="11" s="1"/>
  <c r="P18" i="11"/>
  <c r="Q18" i="11"/>
  <c r="R18" i="11"/>
  <c r="U18" i="11"/>
  <c r="Y18" i="11"/>
  <c r="Z18" i="11"/>
  <c r="AB18" i="11"/>
  <c r="AC18" i="11"/>
  <c r="AD18" i="11"/>
  <c r="AE18" i="11"/>
  <c r="AF18" i="11"/>
  <c r="AG18" i="11"/>
  <c r="AH18" i="11"/>
  <c r="AI18" i="11"/>
  <c r="T19" i="11"/>
  <c r="V19" i="11"/>
  <c r="W19" i="11"/>
  <c r="W18" i="11" s="1"/>
  <c r="X19" i="11"/>
  <c r="X18" i="11" s="1"/>
  <c r="AA19" i="11"/>
  <c r="AA18" i="11" s="1"/>
  <c r="M20" i="11"/>
  <c r="M18" i="11" s="1"/>
  <c r="T20" i="11"/>
  <c r="V20" i="11"/>
  <c r="L20" i="11" s="1"/>
  <c r="L21" i="11"/>
  <c r="L22" i="11"/>
  <c r="L23" i="11"/>
  <c r="L24" i="11"/>
  <c r="L25" i="11"/>
  <c r="V26" i="11"/>
  <c r="L26" i="11" s="1"/>
  <c r="V27" i="11"/>
  <c r="L27" i="11" s="1"/>
  <c r="V28" i="11"/>
  <c r="L28" i="11" s="1"/>
  <c r="V29" i="11"/>
  <c r="L29" i="11" s="1"/>
  <c r="T30" i="11"/>
  <c r="V30" i="11"/>
  <c r="L30" i="11" s="1"/>
  <c r="L31" i="11"/>
  <c r="V31" i="11"/>
  <c r="V32" i="11"/>
  <c r="L32" i="11" s="1"/>
  <c r="L33" i="11"/>
  <c r="V33" i="11"/>
  <c r="V34" i="11"/>
  <c r="L34" i="11" s="1"/>
  <c r="L35" i="11"/>
  <c r="V35" i="11"/>
  <c r="V36" i="11"/>
  <c r="L36" i="11" s="1"/>
  <c r="V37" i="11"/>
  <c r="L37" i="11" s="1"/>
  <c r="V38" i="11"/>
  <c r="L38" i="11" s="1"/>
  <c r="L39" i="11"/>
  <c r="V39" i="11"/>
  <c r="V40" i="11"/>
  <c r="L40" i="11" s="1"/>
  <c r="L41" i="11"/>
  <c r="T41" i="11"/>
  <c r="V41" i="11"/>
  <c r="V42" i="11"/>
  <c r="L42" i="11" s="1"/>
  <c r="V43" i="11"/>
  <c r="L43" i="11" s="1"/>
  <c r="V44" i="11"/>
  <c r="L44" i="11" s="1"/>
  <c r="V45" i="11"/>
  <c r="L45" i="11" s="1"/>
  <c r="V46" i="11"/>
  <c r="L46" i="11" s="1"/>
  <c r="V47" i="11"/>
  <c r="L47" i="11" s="1"/>
  <c r="S48" i="11"/>
  <c r="V48" i="11"/>
  <c r="L48" i="11" s="1"/>
  <c r="S49" i="11"/>
  <c r="V49" i="11"/>
  <c r="L49" i="11" s="1"/>
  <c r="S50" i="11"/>
  <c r="T50" i="11"/>
  <c r="V50" i="11"/>
  <c r="L50" i="11" s="1"/>
  <c r="S51" i="11"/>
  <c r="V51" i="11"/>
  <c r="L51" i="11" s="1"/>
  <c r="L52" i="11"/>
  <c r="V53" i="11"/>
  <c r="L53" i="11" s="1"/>
  <c r="M54" i="11"/>
  <c r="N54" i="11"/>
  <c r="O54" i="11"/>
  <c r="P54" i="11"/>
  <c r="Q54" i="11"/>
  <c r="R54" i="11"/>
  <c r="U54" i="11"/>
  <c r="W54" i="11"/>
  <c r="X54" i="11"/>
  <c r="Y54" i="11"/>
  <c r="Z54" i="11"/>
  <c r="AA54" i="11"/>
  <c r="AB54" i="11"/>
  <c r="AC54" i="11"/>
  <c r="AD54" i="11"/>
  <c r="AE54" i="11"/>
  <c r="AF54" i="11"/>
  <c r="AG54" i="11"/>
  <c r="AH54" i="11"/>
  <c r="AI54" i="11"/>
  <c r="T55" i="11"/>
  <c r="V55" i="11"/>
  <c r="T56" i="11"/>
  <c r="V56" i="11"/>
  <c r="L56" i="11" s="1"/>
  <c r="L57" i="11"/>
  <c r="S57" i="11"/>
  <c r="L58" i="11"/>
  <c r="S58" i="11" s="1"/>
  <c r="L59" i="11"/>
  <c r="S59" i="11"/>
  <c r="T59" i="11"/>
  <c r="L60" i="11"/>
  <c r="S60" i="11" s="1"/>
  <c r="V61" i="11"/>
  <c r="V62" i="11"/>
  <c r="V63" i="11"/>
  <c r="V64" i="11"/>
  <c r="V65" i="11"/>
  <c r="V66" i="11"/>
  <c r="V67" i="11"/>
  <c r="V68" i="11"/>
  <c r="L69" i="11"/>
  <c r="L71" i="11"/>
  <c r="T72" i="11"/>
  <c r="U72" i="11"/>
  <c r="X72" i="11"/>
  <c r="Y72" i="11"/>
  <c r="Z72" i="11"/>
  <c r="AA72" i="11"/>
  <c r="AB72" i="11"/>
  <c r="AC72" i="11"/>
  <c r="AD72" i="11"/>
  <c r="AE72" i="11"/>
  <c r="AF72" i="11"/>
  <c r="AG72" i="11"/>
  <c r="AH72" i="11"/>
  <c r="AI72" i="11"/>
  <c r="V73" i="11"/>
  <c r="L73" i="11" s="1"/>
  <c r="L72" i="11" s="1"/>
  <c r="L74" i="11"/>
  <c r="S74" i="11" s="1"/>
  <c r="L75" i="11"/>
  <c r="L76" i="11"/>
  <c r="L77" i="11"/>
  <c r="S77" i="11" s="1"/>
  <c r="L78" i="11"/>
  <c r="S78" i="11"/>
  <c r="V81" i="11"/>
  <c r="W81" i="11"/>
  <c r="W72" i="11" s="1"/>
  <c r="M83" i="11"/>
  <c r="N83" i="11"/>
  <c r="O83" i="11"/>
  <c r="P83" i="11"/>
  <c r="P72" i="11" s="1"/>
  <c r="Q83" i="11"/>
  <c r="R83" i="11"/>
  <c r="S83" i="11"/>
  <c r="T83" i="11"/>
  <c r="U83" i="11"/>
  <c r="V83" i="11"/>
  <c r="W83" i="11"/>
  <c r="X83" i="11"/>
  <c r="Y83" i="11"/>
  <c r="Z83" i="11"/>
  <c r="AA83" i="11"/>
  <c r="AB83" i="11"/>
  <c r="AC83" i="11"/>
  <c r="AD83" i="11"/>
  <c r="AE83" i="11"/>
  <c r="AF83" i="11"/>
  <c r="AG83" i="11"/>
  <c r="AH83" i="11"/>
  <c r="AI83" i="11"/>
  <c r="L84" i="11"/>
  <c r="L83" i="11" s="1"/>
  <c r="L85" i="11"/>
  <c r="P86" i="11"/>
  <c r="Q86" i="11"/>
  <c r="R86" i="11"/>
  <c r="T86" i="11"/>
  <c r="U86" i="11"/>
  <c r="W86" i="11"/>
  <c r="X86" i="11"/>
  <c r="Y86" i="11"/>
  <c r="Z86" i="11"/>
  <c r="AA86" i="11"/>
  <c r="AB86" i="11"/>
  <c r="AC86" i="11"/>
  <c r="AD86" i="11"/>
  <c r="AE86" i="11"/>
  <c r="AF86" i="11"/>
  <c r="AG86" i="11"/>
  <c r="AH86" i="11"/>
  <c r="AI86" i="11"/>
  <c r="L87" i="11"/>
  <c r="M87" i="11"/>
  <c r="M86" i="11" s="1"/>
  <c r="S87" i="11"/>
  <c r="S88" i="11"/>
  <c r="V88" i="11"/>
  <c r="L88" i="11" s="1"/>
  <c r="L89" i="11"/>
  <c r="S89" i="11"/>
  <c r="V89" i="11"/>
  <c r="V86" i="11" s="1"/>
  <c r="L90" i="11"/>
  <c r="L91" i="11"/>
  <c r="L92" i="11"/>
  <c r="M92" i="11"/>
  <c r="S54" i="11" l="1"/>
  <c r="V54" i="11"/>
  <c r="L86" i="11"/>
  <c r="Q72" i="11"/>
  <c r="AI2" i="11"/>
  <c r="T54" i="11"/>
  <c r="S18" i="11"/>
  <c r="L19" i="11"/>
  <c r="L18" i="11" s="1"/>
  <c r="S9" i="11"/>
  <c r="T5" i="11"/>
  <c r="L55" i="11"/>
  <c r="T18" i="11"/>
  <c r="AF2" i="11"/>
  <c r="AB2" i="11"/>
  <c r="S86" i="11"/>
  <c r="S72" i="11" s="1"/>
  <c r="Q4" i="11"/>
  <c r="AH2" i="11"/>
  <c r="AH4" i="11"/>
  <c r="V72" i="11"/>
  <c r="L81" i="11"/>
  <c r="V18" i="11"/>
  <c r="P4" i="11"/>
  <c r="AD2" i="11"/>
  <c r="AD4" i="11"/>
  <c r="R72" i="11"/>
  <c r="R4" i="11" s="1"/>
  <c r="L54" i="11"/>
  <c r="AA2" i="11"/>
  <c r="AA4" i="11"/>
  <c r="T2" i="11"/>
  <c r="T4" i="11"/>
  <c r="S5" i="11"/>
  <c r="AG2" i="11"/>
  <c r="AG4" i="11"/>
  <c r="AC2" i="11"/>
  <c r="AC4" i="11"/>
  <c r="Y2" i="11"/>
  <c r="Y4" i="11"/>
  <c r="U2" i="11"/>
  <c r="U4" i="11"/>
  <c r="AI4" i="11"/>
  <c r="W2" i="11"/>
  <c r="W4" i="11"/>
  <c r="AE2" i="11"/>
  <c r="AE4" i="11"/>
  <c r="Z2" i="11"/>
  <c r="Z4" i="11"/>
  <c r="N4" i="11"/>
  <c r="M4" i="11"/>
  <c r="L5" i="11"/>
  <c r="X2" i="11"/>
  <c r="AF4" i="11"/>
  <c r="AB4" i="11"/>
  <c r="X4" i="11"/>
  <c r="F20" i="8"/>
  <c r="E20" i="8"/>
  <c r="D20" i="8"/>
  <c r="C20" i="8"/>
  <c r="C60" i="8"/>
  <c r="F23" i="8"/>
  <c r="E23" i="8"/>
  <c r="D23" i="8"/>
  <c r="D22" i="8" s="1"/>
  <c r="C23" i="8"/>
  <c r="C22" i="8" s="1"/>
  <c r="F22" i="8"/>
  <c r="E22" i="8"/>
  <c r="F18" i="8"/>
  <c r="E18" i="8"/>
  <c r="D18" i="8"/>
  <c r="F16" i="8"/>
  <c r="E16" i="8"/>
  <c r="D16" i="8"/>
  <c r="C16" i="8"/>
  <c r="L4" i="11" l="1"/>
  <c r="S4" i="11"/>
  <c r="V2" i="11"/>
  <c r="V4" i="11"/>
  <c r="D263" i="8"/>
  <c r="E263" i="8"/>
  <c r="F263" i="8"/>
  <c r="C263" i="8"/>
  <c r="D255" i="8"/>
  <c r="E255" i="8"/>
  <c r="F255" i="8"/>
  <c r="D51" i="8"/>
  <c r="E51" i="8"/>
  <c r="E247" i="8" s="1"/>
  <c r="F51" i="8"/>
  <c r="C51" i="8"/>
  <c r="C247" i="8" s="1"/>
  <c r="D243" i="8"/>
  <c r="C243" i="8"/>
  <c r="D240" i="8"/>
  <c r="C240" i="8"/>
  <c r="D237" i="8"/>
  <c r="E237" i="8"/>
  <c r="F237" i="8"/>
  <c r="C237" i="8"/>
  <c r="D199" i="8"/>
  <c r="D229" i="8"/>
  <c r="E229" i="8"/>
  <c r="F229" i="8"/>
  <c r="C229" i="8"/>
  <c r="D219" i="8"/>
  <c r="E219" i="8"/>
  <c r="F219" i="8"/>
  <c r="C219" i="8"/>
  <c r="D211" i="8"/>
  <c r="C211" i="8"/>
  <c r="E199" i="8"/>
  <c r="F199" i="8"/>
  <c r="C199" i="8"/>
  <c r="D193" i="8"/>
  <c r="D192" i="8"/>
  <c r="D178" i="8"/>
  <c r="E178" i="8"/>
  <c r="F178" i="8"/>
  <c r="F259" i="8" l="1"/>
  <c r="D259" i="8"/>
  <c r="E259" i="8"/>
  <c r="C183" i="24"/>
  <c r="C80" i="24"/>
  <c r="C259" i="8"/>
  <c r="C261" i="8" l="1"/>
  <c r="E241" i="8"/>
  <c r="C96" i="24"/>
  <c r="C190" i="24"/>
  <c r="C197" i="24" s="1"/>
  <c r="C198" i="24" s="1"/>
  <c r="C262" i="8"/>
  <c r="G287" i="23"/>
  <c r="F179" i="8"/>
  <c r="E179" i="8"/>
  <c r="D179" i="8"/>
  <c r="C178" i="8"/>
  <c r="C179" i="8" s="1"/>
  <c r="F166" i="8"/>
  <c r="E166" i="8"/>
  <c r="D166" i="8"/>
  <c r="F165" i="8"/>
  <c r="E165" i="8"/>
  <c r="D165" i="8"/>
  <c r="F164" i="8"/>
  <c r="E164" i="8"/>
  <c r="D164" i="8"/>
  <c r="C164" i="8"/>
  <c r="D139" i="8"/>
  <c r="E139" i="8"/>
  <c r="F139" i="8"/>
  <c r="C139" i="8"/>
  <c r="F141" i="8"/>
  <c r="E141" i="8"/>
  <c r="D141" i="8"/>
  <c r="F140" i="8"/>
  <c r="E140" i="8"/>
  <c r="D140" i="8"/>
  <c r="F109" i="8"/>
  <c r="E109" i="8"/>
  <c r="D109" i="8"/>
  <c r="F108" i="8"/>
  <c r="E108" i="8"/>
  <c r="D108" i="8"/>
  <c r="F107" i="8"/>
  <c r="E107" i="8"/>
  <c r="D107" i="8"/>
  <c r="F77" i="8"/>
  <c r="E77" i="8"/>
  <c r="D77" i="8"/>
  <c r="F76" i="8"/>
  <c r="E76" i="8"/>
  <c r="D76" i="8"/>
  <c r="F75" i="8"/>
  <c r="E75" i="8"/>
  <c r="D75" i="8"/>
  <c r="D43" i="8"/>
  <c r="D127" i="8"/>
  <c r="E127" i="8"/>
  <c r="F127" i="8"/>
  <c r="C127" i="8"/>
  <c r="D94" i="8"/>
  <c r="C94" i="8"/>
  <c r="F29" i="8"/>
  <c r="C31" i="8"/>
  <c r="D247" i="8" l="1"/>
  <c r="F247" i="8"/>
  <c r="C184" i="24"/>
  <c r="C97" i="24"/>
  <c r="D142" i="8"/>
  <c r="E142" i="8"/>
  <c r="E167" i="8"/>
  <c r="D167" i="8"/>
  <c r="F167" i="8"/>
  <c r="F142" i="8"/>
  <c r="F241" i="8" l="1"/>
  <c r="F261" i="8"/>
  <c r="F199" i="24" s="1"/>
  <c r="F200" i="24" s="1"/>
  <c r="E261" i="8"/>
  <c r="E262" i="8" s="1"/>
  <c r="D261" i="8"/>
  <c r="D199" i="24" s="1"/>
  <c r="D200" i="24" s="1"/>
  <c r="F82" i="24"/>
  <c r="F80" i="24"/>
  <c r="E82" i="24"/>
  <c r="E80" i="24"/>
  <c r="D80" i="24"/>
  <c r="D83" i="24" s="1"/>
  <c r="D82" i="24"/>
  <c r="H287" i="23"/>
  <c r="D124" i="8"/>
  <c r="E124" i="8"/>
  <c r="F124" i="8"/>
  <c r="C124" i="8"/>
  <c r="F153" i="8"/>
  <c r="E153" i="8"/>
  <c r="D153" i="8"/>
  <c r="C154" i="8"/>
  <c r="C92" i="8"/>
  <c r="E94" i="8"/>
  <c r="F94" i="8"/>
  <c r="F92" i="8"/>
  <c r="E92" i="8"/>
  <c r="D92" i="8"/>
  <c r="D262" i="8" l="1"/>
  <c r="D291" i="23"/>
  <c r="F291" i="23"/>
  <c r="F262" i="8"/>
  <c r="E291" i="23"/>
  <c r="E199" i="24"/>
  <c r="E200" i="24" s="1"/>
  <c r="I287" i="23"/>
  <c r="E83" i="24"/>
  <c r="F96" i="24"/>
  <c r="F184" i="24" s="1"/>
  <c r="D97" i="24"/>
  <c r="E96" i="24"/>
  <c r="E184" i="24" s="1"/>
  <c r="F83" i="24"/>
  <c r="D154" i="8"/>
  <c r="E154" i="8"/>
  <c r="F154" i="8"/>
  <c r="D185" i="24" l="1"/>
  <c r="D68" i="24"/>
  <c r="D69" i="24" s="1"/>
  <c r="E97" i="24"/>
  <c r="F68" i="24"/>
  <c r="F69" i="24" s="1"/>
  <c r="F198" i="24"/>
  <c r="E198" i="24"/>
  <c r="E68" i="24"/>
  <c r="E69" i="24" s="1"/>
  <c r="F97" i="24"/>
  <c r="F31" i="8"/>
  <c r="D31" i="8"/>
  <c r="E31" i="8"/>
  <c r="F185" i="24" l="1"/>
  <c r="E185" i="24"/>
  <c r="F120" i="8"/>
  <c r="F121" i="8" s="1"/>
  <c r="E120" i="8"/>
  <c r="E121" i="8" s="1"/>
  <c r="D120" i="8"/>
  <c r="D121" i="8" s="1"/>
  <c r="C120" i="8"/>
  <c r="D63" i="8"/>
  <c r="D62" i="8" s="1"/>
  <c r="E63" i="8"/>
  <c r="E62" i="8" s="1"/>
  <c r="F63" i="8"/>
  <c r="F62" i="8" s="1"/>
  <c r="C63" i="8"/>
  <c r="C62" i="8" s="1"/>
  <c r="D60" i="8"/>
  <c r="E60" i="8"/>
  <c r="F60" i="8"/>
  <c r="E29" i="8"/>
  <c r="C29" i="8"/>
  <c r="D29" i="8"/>
  <c r="C121" i="8" l="1"/>
  <c r="G81" i="4" l="1"/>
  <c r="F81" i="4"/>
  <c r="E81" i="4"/>
  <c r="D81" i="4"/>
  <c r="G80" i="4"/>
  <c r="F80" i="4"/>
  <c r="E80" i="4"/>
  <c r="D80" i="4"/>
  <c r="G79" i="4"/>
  <c r="G67" i="4"/>
  <c r="G71" i="4" s="1"/>
  <c r="F67" i="4"/>
  <c r="F71" i="4" s="1"/>
  <c r="E67" i="4"/>
  <c r="E71" i="4" s="1"/>
  <c r="D67" i="4"/>
  <c r="D66" i="4"/>
  <c r="D56" i="4"/>
  <c r="G55" i="4"/>
  <c r="G60" i="4" s="1"/>
  <c r="F55" i="4"/>
  <c r="F60" i="4" s="1"/>
  <c r="E55" i="4"/>
  <c r="E60" i="4" s="1"/>
  <c r="D55" i="4"/>
  <c r="D54" i="4"/>
  <c r="F45" i="4"/>
  <c r="F79" i="4" s="1"/>
  <c r="E45" i="4"/>
  <c r="E79" i="4" s="1"/>
  <c r="D45" i="4"/>
  <c r="D44" i="4"/>
  <c r="G43" i="4"/>
  <c r="G48" i="4" s="1"/>
  <c r="F43" i="4"/>
  <c r="E43" i="4"/>
  <c r="E48" i="4" s="1"/>
  <c r="D43" i="4"/>
  <c r="G37" i="4"/>
  <c r="D34" i="4"/>
  <c r="G33" i="4"/>
  <c r="F33" i="4"/>
  <c r="E33" i="4"/>
  <c r="D33" i="4"/>
  <c r="G32" i="4"/>
  <c r="F32" i="4"/>
  <c r="F37" i="4" s="1"/>
  <c r="E32" i="4"/>
  <c r="E37" i="4" s="1"/>
  <c r="D32" i="4"/>
  <c r="D23" i="4"/>
  <c r="G22" i="4"/>
  <c r="G26" i="4" s="1"/>
  <c r="F22" i="4"/>
  <c r="F26" i="4" s="1"/>
  <c r="E22" i="4"/>
  <c r="E26" i="4" s="1"/>
  <c r="D22" i="4"/>
  <c r="D21" i="4"/>
  <c r="D26" i="4" s="1"/>
  <c r="G11" i="4"/>
  <c r="F11" i="4"/>
  <c r="F15" i="4" s="1"/>
  <c r="E11" i="4"/>
  <c r="G10" i="4"/>
  <c r="G77" i="4" s="1"/>
  <c r="F10" i="4"/>
  <c r="E10" i="4"/>
  <c r="E15" i="4" s="1"/>
  <c r="D10" i="4"/>
  <c r="D15" i="4" s="1"/>
  <c r="M92" i="9"/>
  <c r="L92" i="9"/>
  <c r="L91" i="9"/>
  <c r="L90" i="9"/>
  <c r="V89" i="9"/>
  <c r="L89" i="9" s="1"/>
  <c r="S89" i="9"/>
  <c r="V88" i="9"/>
  <c r="S88" i="9"/>
  <c r="L88" i="9"/>
  <c r="L87" i="9"/>
  <c r="S87" i="9" s="1"/>
  <c r="AI86" i="9"/>
  <c r="AH86" i="9"/>
  <c r="AG86" i="9"/>
  <c r="AF86" i="9"/>
  <c r="AE86" i="9"/>
  <c r="AD86" i="9"/>
  <c r="AC86" i="9"/>
  <c r="AB86" i="9"/>
  <c r="AA86" i="9"/>
  <c r="Z86" i="9"/>
  <c r="Y86" i="9"/>
  <c r="X86" i="9"/>
  <c r="W86" i="9"/>
  <c r="U86" i="9"/>
  <c r="T86" i="9"/>
  <c r="R86" i="9"/>
  <c r="Q86" i="9"/>
  <c r="P86" i="9"/>
  <c r="L85" i="9"/>
  <c r="L83" i="9" s="1"/>
  <c r="L84" i="9"/>
  <c r="AI83" i="9"/>
  <c r="AH83" i="9"/>
  <c r="AG83" i="9"/>
  <c r="AF83" i="9"/>
  <c r="AE83" i="9"/>
  <c r="AD83" i="9"/>
  <c r="AC83" i="9"/>
  <c r="AB83" i="9"/>
  <c r="AA83" i="9"/>
  <c r="Z83" i="9"/>
  <c r="Y83" i="9"/>
  <c r="X83" i="9"/>
  <c r="W83" i="9"/>
  <c r="V83" i="9"/>
  <c r="U83" i="9"/>
  <c r="T83" i="9"/>
  <c r="S83" i="9"/>
  <c r="R83" i="9"/>
  <c r="Q83" i="9"/>
  <c r="P83" i="9"/>
  <c r="O83" i="9"/>
  <c r="N83" i="9"/>
  <c r="M83" i="9"/>
  <c r="W81" i="9"/>
  <c r="V81" i="9"/>
  <c r="L81" i="9"/>
  <c r="L78" i="9"/>
  <c r="S78" i="9" s="1"/>
  <c r="L77" i="9"/>
  <c r="S77" i="9" s="1"/>
  <c r="L76" i="9"/>
  <c r="L75" i="9"/>
  <c r="L74" i="9"/>
  <c r="S74" i="9" s="1"/>
  <c r="V73" i="9"/>
  <c r="L73" i="9" s="1"/>
  <c r="AI72" i="9"/>
  <c r="AH72" i="9"/>
  <c r="AG72" i="9"/>
  <c r="AF72" i="9"/>
  <c r="AE72" i="9"/>
  <c r="AD72" i="9"/>
  <c r="AC72" i="9"/>
  <c r="AB72" i="9"/>
  <c r="AA72" i="9"/>
  <c r="Z72" i="9"/>
  <c r="Y72" i="9"/>
  <c r="X72" i="9"/>
  <c r="W72" i="9"/>
  <c r="U72" i="9"/>
  <c r="T72" i="9"/>
  <c r="R72" i="9"/>
  <c r="Q72" i="9"/>
  <c r="L71" i="9"/>
  <c r="L69" i="9"/>
  <c r="V68" i="9"/>
  <c r="V67" i="9"/>
  <c r="V66" i="9"/>
  <c r="V65" i="9"/>
  <c r="V64" i="9"/>
  <c r="V63" i="9"/>
  <c r="V62" i="9"/>
  <c r="V61" i="9"/>
  <c r="L60" i="9"/>
  <c r="S60" i="9" s="1"/>
  <c r="T59" i="9"/>
  <c r="L59" i="9"/>
  <c r="S59" i="9" s="1"/>
  <c r="L58" i="9"/>
  <c r="S58" i="9" s="1"/>
  <c r="L57" i="9"/>
  <c r="S57" i="9" s="1"/>
  <c r="V56" i="9"/>
  <c r="L56" i="9" s="1"/>
  <c r="T56" i="9"/>
  <c r="T54" i="9" s="1"/>
  <c r="V55" i="9"/>
  <c r="L55" i="9" s="1"/>
  <c r="T55" i="9"/>
  <c r="AI54" i="9"/>
  <c r="AH54" i="9"/>
  <c r="AG54" i="9"/>
  <c r="AG4" i="9" s="1"/>
  <c r="AF54" i="9"/>
  <c r="AE54" i="9"/>
  <c r="AD54" i="9"/>
  <c r="AC54" i="9"/>
  <c r="AC2" i="9" s="1"/>
  <c r="AB54" i="9"/>
  <c r="AA54" i="9"/>
  <c r="Z54" i="9"/>
  <c r="Y54" i="9"/>
  <c r="Y4" i="9" s="1"/>
  <c r="X54" i="9"/>
  <c r="W54" i="9"/>
  <c r="U54" i="9"/>
  <c r="R54" i="9"/>
  <c r="Q54" i="9"/>
  <c r="P54" i="9"/>
  <c r="O54" i="9"/>
  <c r="O4" i="9" s="1"/>
  <c r="N54" i="9"/>
  <c r="M54" i="9"/>
  <c r="V53" i="9"/>
  <c r="L53" i="9" s="1"/>
  <c r="L52" i="9"/>
  <c r="V51" i="9"/>
  <c r="L51" i="9" s="1"/>
  <c r="S51" i="9"/>
  <c r="V50" i="9"/>
  <c r="L50" i="9" s="1"/>
  <c r="T50" i="9"/>
  <c r="S50" i="9"/>
  <c r="S18" i="9" s="1"/>
  <c r="V49" i="9"/>
  <c r="S49" i="9"/>
  <c r="L49" i="9"/>
  <c r="V48" i="9"/>
  <c r="L48" i="9" s="1"/>
  <c r="S48" i="9"/>
  <c r="V47" i="9"/>
  <c r="L47" i="9" s="1"/>
  <c r="V46" i="9"/>
  <c r="L46" i="9" s="1"/>
  <c r="V45" i="9"/>
  <c r="L45" i="9" s="1"/>
  <c r="V44" i="9"/>
  <c r="L44" i="9" s="1"/>
  <c r="V43" i="9"/>
  <c r="L43" i="9" s="1"/>
  <c r="V42" i="9"/>
  <c r="L42" i="9" s="1"/>
  <c r="V41" i="9"/>
  <c r="L41" i="9" s="1"/>
  <c r="T41" i="9"/>
  <c r="T18" i="9" s="1"/>
  <c r="T4" i="9" s="1"/>
  <c r="V40" i="9"/>
  <c r="L40" i="9"/>
  <c r="V39" i="9"/>
  <c r="L39" i="9" s="1"/>
  <c r="V38" i="9"/>
  <c r="L38" i="9" s="1"/>
  <c r="V37" i="9"/>
  <c r="L37" i="9" s="1"/>
  <c r="V36" i="9"/>
  <c r="L36" i="9"/>
  <c r="V35" i="9"/>
  <c r="L35" i="9" s="1"/>
  <c r="V34" i="9"/>
  <c r="L34" i="9" s="1"/>
  <c r="V33" i="9"/>
  <c r="L33" i="9" s="1"/>
  <c r="V32" i="9"/>
  <c r="L32" i="9"/>
  <c r="V31" i="9"/>
  <c r="L31" i="9" s="1"/>
  <c r="V30" i="9"/>
  <c r="T30" i="9"/>
  <c r="L30" i="9"/>
  <c r="V29" i="9"/>
  <c r="L29" i="9"/>
  <c r="V28" i="9"/>
  <c r="L28" i="9" s="1"/>
  <c r="V27" i="9"/>
  <c r="L27" i="9" s="1"/>
  <c r="V26" i="9"/>
  <c r="L26" i="9" s="1"/>
  <c r="L25" i="9"/>
  <c r="L24" i="9"/>
  <c r="L23" i="9"/>
  <c r="L22" i="9"/>
  <c r="L21" i="9"/>
  <c r="V20" i="9"/>
  <c r="L20" i="9" s="1"/>
  <c r="T20" i="9"/>
  <c r="M20" i="9"/>
  <c r="M18" i="9" s="1"/>
  <c r="AA19" i="9"/>
  <c r="AA18" i="9" s="1"/>
  <c r="X19" i="9"/>
  <c r="W19" i="9"/>
  <c r="V19" i="9"/>
  <c r="T19" i="9"/>
  <c r="L19" i="9"/>
  <c r="AI18" i="9"/>
  <c r="AH18" i="9"/>
  <c r="AG18" i="9"/>
  <c r="AF18" i="9"/>
  <c r="AE18" i="9"/>
  <c r="AD18" i="9"/>
  <c r="AC18" i="9"/>
  <c r="AB18" i="9"/>
  <c r="Z18" i="9"/>
  <c r="Y18" i="9"/>
  <c r="X18" i="9"/>
  <c r="W18" i="9"/>
  <c r="U18" i="9"/>
  <c r="R18" i="9"/>
  <c r="Q18" i="9"/>
  <c r="P18" i="9"/>
  <c r="O18" i="9"/>
  <c r="N18" i="9"/>
  <c r="N4" i="9" s="1"/>
  <c r="L16" i="9"/>
  <c r="L15" i="9"/>
  <c r="L14" i="9"/>
  <c r="L13" i="9"/>
  <c r="L12" i="9"/>
  <c r="L11" i="9"/>
  <c r="T10" i="9"/>
  <c r="S10" i="9"/>
  <c r="L10" i="9"/>
  <c r="M9" i="9"/>
  <c r="S9" i="9" s="1"/>
  <c r="L9" i="9"/>
  <c r="L8" i="9"/>
  <c r="T7" i="9"/>
  <c r="S7" i="9"/>
  <c r="L7" i="9"/>
  <c r="T6" i="9"/>
  <c r="S6" i="9"/>
  <c r="L6" i="9"/>
  <c r="AI5" i="9"/>
  <c r="AH5" i="9"/>
  <c r="AG5" i="9"/>
  <c r="AG2" i="9" s="1"/>
  <c r="AF5" i="9"/>
  <c r="AE5" i="9"/>
  <c r="AD5" i="9"/>
  <c r="AC5" i="9"/>
  <c r="AC4" i="9" s="1"/>
  <c r="AB5" i="9"/>
  <c r="AA5" i="9"/>
  <c r="Z5" i="9"/>
  <c r="Y5" i="9"/>
  <c r="Y2" i="9" s="1"/>
  <c r="X5" i="9"/>
  <c r="W5" i="9"/>
  <c r="V5" i="9"/>
  <c r="U5" i="9"/>
  <c r="T5" i="9"/>
  <c r="R5" i="9"/>
  <c r="R4" i="9" s="1"/>
  <c r="Q5" i="9"/>
  <c r="P5" i="9"/>
  <c r="AH4" i="9"/>
  <c r="AD4" i="9"/>
  <c r="Z4" i="9"/>
  <c r="U4" i="9"/>
  <c r="Q4" i="9"/>
  <c r="AH2" i="9"/>
  <c r="AD2" i="9"/>
  <c r="Z2" i="9"/>
  <c r="U2" i="9"/>
  <c r="S5" i="9" l="1"/>
  <c r="P4" i="9"/>
  <c r="L54" i="9"/>
  <c r="V54" i="9"/>
  <c r="E82" i="4"/>
  <c r="F82" i="4"/>
  <c r="E84" i="4"/>
  <c r="M5" i="9"/>
  <c r="W4" i="9"/>
  <c r="AE4" i="9"/>
  <c r="AI4" i="9"/>
  <c r="L5" i="9"/>
  <c r="P72" i="9"/>
  <c r="S86" i="9"/>
  <c r="S72" i="9" s="1"/>
  <c r="S4" i="9" s="1"/>
  <c r="F77" i="4"/>
  <c r="G78" i="4"/>
  <c r="D77" i="4"/>
  <c r="D78" i="4"/>
  <c r="D79" i="4"/>
  <c r="F48" i="4"/>
  <c r="F84" i="4" s="1"/>
  <c r="AF4" i="9"/>
  <c r="S54" i="9"/>
  <c r="L72" i="9"/>
  <c r="E78" i="4"/>
  <c r="D48" i="4"/>
  <c r="D60" i="4"/>
  <c r="D84" i="4" s="1"/>
  <c r="D71" i="4"/>
  <c r="AA4" i="9"/>
  <c r="AB4" i="9"/>
  <c r="X4" i="9"/>
  <c r="G15" i="4"/>
  <c r="G82" i="4" s="1"/>
  <c r="D37" i="4"/>
  <c r="D82" i="4" s="1"/>
  <c r="E77" i="4"/>
  <c r="F78" i="4"/>
  <c r="L18" i="9"/>
  <c r="V72" i="9"/>
  <c r="M87" i="9"/>
  <c r="M86" i="9" s="1"/>
  <c r="M4" i="9" s="1"/>
  <c r="W2" i="9"/>
  <c r="AA2" i="9"/>
  <c r="AE2" i="9"/>
  <c r="AI2" i="9"/>
  <c r="V18" i="9"/>
  <c r="L86" i="9"/>
  <c r="V86" i="9"/>
  <c r="T2" i="9"/>
  <c r="X2" i="9"/>
  <c r="AB2" i="9"/>
  <c r="AF2" i="9"/>
  <c r="C42" i="8"/>
  <c r="D42" i="8"/>
  <c r="E42" i="8"/>
  <c r="F42" i="8"/>
  <c r="E43" i="8"/>
  <c r="F43" i="8"/>
  <c r="D44" i="8"/>
  <c r="E44" i="8"/>
  <c r="F44" i="8"/>
  <c r="L4" i="9" l="1"/>
  <c r="G84" i="4"/>
  <c r="V4" i="9"/>
  <c r="V2" i="9"/>
  <c r="F45" i="8"/>
  <c r="E45" i="8"/>
  <c r="D45" i="8"/>
  <c r="F238" i="8" l="1"/>
  <c r="E238" i="8"/>
  <c r="D238" i="8"/>
  <c r="C238" i="8"/>
  <c r="F231" i="8"/>
  <c r="E231" i="8"/>
  <c r="D231" i="8"/>
  <c r="F230" i="8"/>
  <c r="E230" i="8"/>
  <c r="D230" i="8"/>
  <c r="F220" i="8"/>
  <c r="E220" i="8"/>
  <c r="D220" i="8"/>
  <c r="C220" i="8"/>
  <c r="F213" i="8"/>
  <c r="E213" i="8"/>
  <c r="D213" i="8"/>
  <c r="F212" i="8"/>
  <c r="E212" i="8"/>
  <c r="D212" i="8"/>
  <c r="F200" i="8"/>
  <c r="E200" i="8"/>
  <c r="D200" i="8"/>
  <c r="C200" i="8"/>
  <c r="F193" i="8"/>
  <c r="E193" i="8"/>
  <c r="F192" i="8"/>
  <c r="E192" i="8"/>
  <c r="F191" i="8"/>
  <c r="E191" i="8"/>
  <c r="D191" i="8"/>
  <c r="C191" i="8"/>
  <c r="F88" i="8"/>
  <c r="F89" i="8" s="1"/>
  <c r="E88" i="8"/>
  <c r="E89" i="8" s="1"/>
  <c r="D88" i="8"/>
  <c r="D89" i="8" s="1"/>
  <c r="C88" i="8"/>
  <c r="C89" i="8" s="1"/>
  <c r="F56" i="8"/>
  <c r="E56" i="8"/>
  <c r="D56" i="8"/>
  <c r="D241" i="8" s="1"/>
  <c r="C56" i="8"/>
  <c r="F57" i="8" l="1"/>
  <c r="C57" i="8"/>
  <c r="C241" i="8"/>
  <c r="D57" i="8"/>
  <c r="E57" i="8"/>
  <c r="D194" i="8"/>
  <c r="E194" i="8"/>
  <c r="E246" i="8"/>
  <c r="E189" i="24" s="1"/>
  <c r="F214" i="8"/>
  <c r="D214" i="8"/>
  <c r="F232" i="8"/>
  <c r="E214" i="8"/>
  <c r="F194" i="8"/>
  <c r="F246" i="8"/>
  <c r="F189" i="24" s="1"/>
  <c r="F248" i="8"/>
  <c r="F260" i="8"/>
  <c r="E232" i="8"/>
  <c r="D248" i="8"/>
  <c r="D260" i="8"/>
  <c r="D232" i="8"/>
  <c r="E260" i="8"/>
  <c r="D246" i="8"/>
  <c r="D189" i="24" s="1"/>
  <c r="E248" i="8"/>
  <c r="F242" i="8" l="1"/>
  <c r="D242" i="8"/>
  <c r="E242" i="8"/>
  <c r="C60" i="2" l="1"/>
  <c r="D34" i="2"/>
  <c r="E34" i="2"/>
  <c r="F34" i="2"/>
  <c r="C34" i="2"/>
  <c r="D58" i="2"/>
  <c r="E58" i="2"/>
  <c r="F58" i="2"/>
  <c r="C58" i="2"/>
  <c r="D61" i="2"/>
  <c r="E61" i="2"/>
  <c r="F61" i="2"/>
  <c r="C61" i="2"/>
  <c r="C59" i="2" l="1"/>
  <c r="D60" i="2" l="1"/>
  <c r="D59" i="2" s="1"/>
  <c r="E60" i="2"/>
  <c r="E59" i="2" s="1"/>
  <c r="F60" i="2"/>
  <c r="F59" i="2" s="1"/>
  <c r="F45" i="2" l="1"/>
  <c r="E45" i="2"/>
  <c r="D45" i="2"/>
  <c r="F44" i="2"/>
  <c r="E44" i="2"/>
  <c r="D44" i="2"/>
  <c r="F43" i="2"/>
  <c r="E43" i="2"/>
  <c r="D43" i="2"/>
  <c r="F23" i="2"/>
  <c r="E23" i="2"/>
  <c r="D23" i="2"/>
  <c r="F22" i="2"/>
  <c r="E22" i="2"/>
  <c r="D22" i="2"/>
  <c r="F21" i="2"/>
  <c r="E21" i="2"/>
  <c r="D21" i="2"/>
  <c r="E248" i="14" l="1"/>
  <c r="F248" i="14"/>
  <c r="G248" i="14"/>
  <c r="G249" i="14"/>
  <c r="E249" i="14"/>
  <c r="E255" i="14"/>
  <c r="E260" i="14" s="1"/>
  <c r="E261" i="14" s="1"/>
  <c r="G255" i="14"/>
  <c r="G260" i="14" s="1"/>
  <c r="G261" i="14" s="1"/>
  <c r="F249" i="14"/>
  <c r="F255" i="14"/>
  <c r="F260" i="14"/>
  <c r="F261" i="14" s="1"/>
  <c r="F41" i="14"/>
  <c r="G41" i="14"/>
  <c r="E41" i="14"/>
  <c r="E39" i="14"/>
  <c r="E42" i="14" s="1"/>
  <c r="E48" i="14"/>
  <c r="E53" i="14" s="1"/>
  <c r="E54" i="14" s="1"/>
  <c r="F39" i="14"/>
  <c r="F48" i="14"/>
  <c r="F53" i="14" s="1"/>
  <c r="F54" i="14" s="1"/>
  <c r="F369" i="14"/>
  <c r="G48" i="14"/>
  <c r="G53" i="14" s="1"/>
  <c r="G54" i="14" s="1"/>
  <c r="G39" i="14"/>
  <c r="G369" i="14" l="1"/>
  <c r="G42" i="14"/>
  <c r="F363" i="14"/>
  <c r="F383" i="14" s="1"/>
  <c r="G363" i="14"/>
  <c r="G383" i="14" s="1"/>
  <c r="F42" i="14"/>
  <c r="G370" i="14"/>
  <c r="E369" i="14"/>
  <c r="E363" i="14" l="1"/>
  <c r="E383" i="14" s="1"/>
  <c r="G392" i="31"/>
  <c r="G175" i="32"/>
  <c r="J174" i="32" s="1"/>
  <c r="F392" i="31"/>
  <c r="F175" i="32"/>
  <c r="I174" i="32" s="1"/>
  <c r="F370" i="14"/>
  <c r="F364" i="14"/>
  <c r="E364" i="14"/>
  <c r="G364" i="14"/>
  <c r="E370" i="14"/>
  <c r="E392" i="31" l="1"/>
  <c r="E175" i="32"/>
  <c r="H174" i="32" s="1"/>
</calcChain>
</file>

<file path=xl/comments1.xml><?xml version="1.0" encoding="utf-8"?>
<comments xmlns="http://schemas.openxmlformats.org/spreadsheetml/2006/main">
  <authors>
    <author>Microsoft Office User</author>
    <author>Marsela Robo</author>
  </authors>
  <commentList>
    <comment ref="C11" authorId="0">
      <text>
        <r>
          <rPr>
            <b/>
            <sz val="10"/>
            <color indexed="81"/>
            <rFont val="Calibri"/>
            <family val="2"/>
          </rPr>
          <t>Microsoft Office User:</t>
        </r>
        <r>
          <rPr>
            <sz val="10"/>
            <color indexed="81"/>
            <rFont val="Calibri"/>
            <family val="2"/>
          </rPr>
          <t xml:space="preserve">
Jam dakort</t>
        </r>
      </text>
    </comment>
    <comment ref="M11" authorId="1">
      <text>
        <r>
          <rPr>
            <b/>
            <sz val="9"/>
            <color indexed="81"/>
            <rFont val="Tahoma"/>
            <family val="2"/>
          </rPr>
          <t>Marsela Robo:</t>
        </r>
        <r>
          <rPr>
            <sz val="9"/>
            <color indexed="81"/>
            <rFont val="Tahoma"/>
            <family val="2"/>
          </rPr>
          <t xml:space="preserve">
Programi për Kërkimin Shkencor, Teknologjinë dhe Inovacionin (SHTI) synon konsolidimin e mëtejshëm të reformës në Arsimin e Lartë dhe Kërkimin Shkencor duke e harmonizuar atë me parimet e Zonës Europiane të Kërkimit Shkencor (ERA), në kuadër edhe të perspektivës së antarësimit në BE. Zbatimi i suksesshëm i politikave në këtë fushë, do të kontribuojë edhe në standartizimin e sistemit institucional të KSH si dhe në orientimin e kërkimit shkencor drejt një ekonomie konkuruese dhe inovative.</t>
        </r>
      </text>
    </comment>
    <comment ref="C19" authorId="1">
      <text>
        <r>
          <rPr>
            <b/>
            <sz val="9"/>
            <color indexed="81"/>
            <rFont val="Tahoma"/>
            <family val="2"/>
          </rPr>
          <t xml:space="preserve">Marsela Robo:
</t>
        </r>
        <r>
          <rPr>
            <sz val="9"/>
            <color indexed="81"/>
            <rFont val="Tahoma"/>
            <family val="2"/>
          </rPr>
          <t xml:space="preserve">Mendoj qe, perpara synimeve, ne fillim te vihet vizioni:
</t>
        </r>
        <r>
          <rPr>
            <b/>
            <sz val="9"/>
            <color indexed="81"/>
            <rFont val="Tahoma"/>
            <family val="2"/>
          </rPr>
          <t xml:space="preserve">Vizioni </t>
        </r>
        <r>
          <rPr>
            <sz val="9"/>
            <color indexed="81"/>
            <rFont val="Tahoma"/>
            <family val="2"/>
          </rPr>
          <t xml:space="preserve">i KSH për periudhën 2018-2022 është fuqizimi i sistemit kërkimor dhe inovativ për të përballuar me sukses sfidat e zhvillimit aktual dhe perspektiv të vendit, si dhe rritja e kapaciteteve institucionale dhe ligjore të KSH për fushat prioritare.
</t>
        </r>
      </text>
    </comment>
    <comment ref="M27" authorId="1">
      <text>
        <r>
          <rPr>
            <b/>
            <sz val="9"/>
            <color indexed="81"/>
            <rFont val="Tahoma"/>
            <family val="2"/>
          </rPr>
          <t xml:space="preserve">Marsela Robo:
</t>
        </r>
        <r>
          <rPr>
            <sz val="9"/>
            <color indexed="81"/>
            <rFont val="Tahoma"/>
            <family val="2"/>
          </rPr>
          <t>Mendoj të formulohet si më poshtë:</t>
        </r>
        <r>
          <rPr>
            <sz val="9"/>
            <color indexed="81"/>
            <rFont val="Tahoma"/>
            <family val="2"/>
          </rPr>
          <t xml:space="preserve">
Mbështetur në VKM Nr. 710, datë 1.12.2017
"PËR MIRATIMIN E STRATEGJISË KOMBËTARE PËR SHKENCËN, TEKNOLOGJINË DHE INOVACIONIN, 2017-2022",</t>
        </r>
        <r>
          <rPr>
            <b/>
            <sz val="9"/>
            <color indexed="81"/>
            <rFont val="Tahoma"/>
            <family val="2"/>
          </rPr>
          <t xml:space="preserve"> qëllimet kryesore të përcaktuara për SHTI janë:</t>
        </r>
        <r>
          <rPr>
            <sz val="9"/>
            <color indexed="81"/>
            <rFont val="Tahoma"/>
            <family val="2"/>
          </rPr>
          <t xml:space="preserve">
1. Maksimalizimi i rezultateve të kërkimit shkencor, nëpërmjet përmirësimit të politikave, instrumentave ligjorë, institucionalë dhe financiarë;
2. Rritja e investimeve për infrastrukturën e kërkimit shkencor dhe efektivitetit të përdorimit të tyre;
3.  Thjeshtëzimi i praktikave që garantojnë treg të hapur për kërkuesit shkencorë vendas dhe të huaj, dhe lehtësim mobiliteti akademik;
4. Promovimi i barazisë gjinore në fushën e SHTIsë;
5.  Garantimi i aksesit për marrjen e informacionit mbi rezultatet e kërkimit shkencor dhe përdorimi i pakushtëzuar  i të dhënave shkencore;
6. Rritja e bashkëpunimit mes komunitetit të kërkuesëve shkencorë  dhe atij  të biznesit;
7. Forcimi i lidhjeve të bashkëpunimit ndërkufitar e ndërkombëtar në fushën e kërkimit shkencor.
</t>
        </r>
      </text>
    </comment>
    <comment ref="R34" authorId="1">
      <text>
        <r>
          <rPr>
            <b/>
            <sz val="9"/>
            <color indexed="81"/>
            <rFont val="Tahoma"/>
            <family val="2"/>
          </rPr>
          <t>Marsela Robo:</t>
        </r>
        <r>
          <rPr>
            <sz val="9"/>
            <color indexed="81"/>
            <rFont val="Tahoma"/>
            <family val="2"/>
          </rPr>
          <t xml:space="preserve">
Jam dakord. VKM e kam vendosur per reference, per dijeni.</t>
        </r>
      </text>
    </comment>
    <comment ref="Q41" authorId="0">
      <text>
        <r>
          <rPr>
            <b/>
            <sz val="10"/>
            <color indexed="81"/>
            <rFont val="Calibri"/>
            <family val="2"/>
          </rPr>
          <t>Microsoft Office User:</t>
        </r>
        <r>
          <rPr>
            <sz val="10"/>
            <color indexed="81"/>
            <rFont val="Calibri"/>
            <family val="2"/>
          </rPr>
          <t xml:space="preserve">
Ndoshta nuk eshte nevoja te vendoset VKM por vetem qellimet</t>
        </r>
      </text>
    </comment>
    <comment ref="C65" authorId="1">
      <text>
        <r>
          <rPr>
            <b/>
            <sz val="9"/>
            <color indexed="81"/>
            <rFont val="Tahoma"/>
            <family val="2"/>
          </rPr>
          <t>Marsela Robo:</t>
        </r>
        <r>
          <rPr>
            <sz val="9"/>
            <color indexed="81"/>
            <rFont val="Tahoma"/>
            <family val="2"/>
          </rPr>
          <t xml:space="preserve">
Te shtohet ne vjim:
8.  95% e doktorantëve janë pjesë e stafeve me kohë të plotë e departamenteve në 2020;
9.  30% e financimit për kërkimin shkencor në IAL vjen nga ente private në 2020;
10.  Rritja e mobilitetit të stafit dhe studentëve me 20% në 2018 dhe 40% në 2019 dhe 60% në vitin 2020
11.  100% e studenteve ekselente, studente ne nevoje të perfitojnë bursa e kredi studentore në 2020;
12. Rritja e financimit deri në 20% krahasuar me pesë vitet e fundit, në projektet e bashkëpunimit ndërkufitar e ndërkombëtar në fushën e kërkimit shkencor;
12. Rritja me 30 % deri në vitin 2022  e drejtuesve femra në pozicioneve drejtuese akademike e kërkimore, të IAL -ve dhe  qendrave kërkimore jashte IAL-ve;
13. Rritja e investimeve për SHTI bazuar në fondet publike dhe burime të tjera alternative deri në 1% të GDP;</t>
        </r>
      </text>
    </comment>
  </commentList>
</comments>
</file>

<file path=xl/sharedStrings.xml><?xml version="1.0" encoding="utf-8"?>
<sst xmlns="http://schemas.openxmlformats.org/spreadsheetml/2006/main" count="9287" uniqueCount="1211">
  <si>
    <t xml:space="preserve">600. Pagat </t>
  </si>
  <si>
    <t xml:space="preserve">602. Mallrat dhe shërbimet </t>
  </si>
  <si>
    <t xml:space="preserve">603. Subvencionet </t>
  </si>
  <si>
    <t xml:space="preserve">606. Transferta për familjet dhe individët </t>
  </si>
  <si>
    <t>Kodi i Programit</t>
  </si>
  <si>
    <t>2019-2021</t>
  </si>
  <si>
    <t>Buxheti</t>
  </si>
  <si>
    <t>Parashikimi</t>
  </si>
  <si>
    <t>Përshkrimi i Programit</t>
  </si>
  <si>
    <t>Sasia</t>
  </si>
  <si>
    <t>Përshkrimi i Produktit:</t>
  </si>
  <si>
    <t>Qëllimet e Politikës së Programit</t>
  </si>
  <si>
    <t>Objektivi 1 i Politikës së Programit</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</si>
  <si>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</si>
  <si>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</si>
  <si>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</si>
  <si>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</si>
  <si>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</si>
  <si>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</si>
  <si>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</si>
  <si>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</si>
  <si>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</si>
  <si>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Objektivi 2 i Politikës së Programit</t>
  </si>
  <si>
    <t>Kosto për njësi (në mijë lekë)</t>
  </si>
  <si>
    <t>Ndryshimi në % i totalit të shpenzimeve të Programit</t>
  </si>
  <si>
    <t>Ndryshimi në % i Pagave</t>
  </si>
  <si>
    <t>Ndryshimi në % i Mallrave dhe Shërbimeve</t>
  </si>
  <si>
    <t>Ndryshimi në % i Subvencioneve</t>
  </si>
  <si>
    <t>604. Transferta të brendshme</t>
  </si>
  <si>
    <t>Ndryshimi në % i Transfertave të brendshme</t>
  </si>
  <si>
    <t>605. Transferta të jashtme</t>
  </si>
  <si>
    <t>Ndryshimi në % i Transfertave të jashtme</t>
  </si>
  <si>
    <t>Ndryshimi në % i Transfertave për familjet dhe individët</t>
  </si>
  <si>
    <t>Ndryshimi në % i Aktiveve të Patrupëzuara</t>
  </si>
  <si>
    <t>Ndryshimi në % i Aktiveve të Trupëzuara</t>
  </si>
  <si>
    <t>Programi Buxhetor Afatmesëm</t>
  </si>
  <si>
    <t>xxxx</t>
  </si>
  <si>
    <t>Treguesit e Performancës për Objektivin</t>
  </si>
  <si>
    <t>Treguesi 1 i Performances</t>
  </si>
  <si>
    <t>Treguesi 2 i Performances</t>
  </si>
  <si>
    <t>Treguesi X i Performances</t>
  </si>
  <si>
    <t>xxxxx</t>
  </si>
  <si>
    <t>Vlera e Synuar</t>
  </si>
  <si>
    <t>Politikat e Reja</t>
  </si>
  <si>
    <t>Objektivi X i Politikës së Programit*</t>
  </si>
  <si>
    <t>Produkti 1</t>
  </si>
  <si>
    <t>Emërtimi i Projektit të Investimeve</t>
  </si>
  <si>
    <t>Kodi i Projektit të Investimeve</t>
  </si>
  <si>
    <t>Vlera Bazë</t>
  </si>
  <si>
    <t>601. Sigurimet Shoqërore dhe Shendetësore</t>
  </si>
  <si>
    <t>Ndryshimi në % i Sigurimeve Shoqërore dhe Shëndetësore</t>
  </si>
  <si>
    <t>Ndryshimi në % i Pagave si pasojë e ndryshimit të kostos së produktit</t>
  </si>
  <si>
    <t>Ndryshimi në % i Pagave si pasojë e ndryshimit të sasisë së produktit</t>
  </si>
  <si>
    <t>Ndryshimi në % i Sigurimeve Shoqerore dhe Shendetësore si pasojë e ndryshimit të kostos së produktit</t>
  </si>
  <si>
    <t>Ndryshimi në % i Sigurimeve Shoqërore dhe Shendetësore si pasojë e ndryshimit të sasisë së produktit</t>
  </si>
  <si>
    <t>Numri i Punonjësve Organik të Programit Buxhetor</t>
  </si>
  <si>
    <t>Ndryshimi në % i Mallrave dhe Shërbimeve si pasojë e ndryshimit të kostos së produktit</t>
  </si>
  <si>
    <t>Ndryshimi në % i Mallrave dhe Shërbimeve si pasojë e ndryshimit të sasisë së produktit</t>
  </si>
  <si>
    <t>Ndryshimi në % i Subvencioneve si pasojë e ndryshimit të kostos së produktit</t>
  </si>
  <si>
    <t>Ndryshimi në % i Transfertave të brendshme si pasojë e ndryshimit të kostos së produktit</t>
  </si>
  <si>
    <t>Ndryshimi në % i Transfertave të jashtme si pasojë e ndryshimit të kostos së produktit</t>
  </si>
  <si>
    <t>Ndryshimi në % i Transfertave të jashtme si pasojë e ndryshimit të sasisë së produktit</t>
  </si>
  <si>
    <t>Ndryshimi në % i Transfertave për familjet dhe individët si pasojë e ndryshimit të kostos së produktit</t>
  </si>
  <si>
    <t>Ndryshimi në % i Transfertave për familjet dhe individët si pasojë e ndryshimit të sasisë së produktit</t>
  </si>
  <si>
    <t>Numri i Punonjësve me Kontratë të Programit Buxhetor</t>
  </si>
  <si>
    <t>601. Sigurimet Shoqërore dhe Shëndetësore</t>
  </si>
  <si>
    <t>Produktet për Objektivin 1</t>
  </si>
  <si>
    <t>Produktet për Objektivin 2</t>
  </si>
  <si>
    <t>Kosto totale e produktit 1</t>
  </si>
  <si>
    <r>
      <t xml:space="preserve">Detajimi i Kostos Totale të </t>
    </r>
    <r>
      <rPr>
        <b/>
        <sz val="8"/>
        <color rgb="FFFF0000"/>
        <rFont val="Garamond"/>
        <family val="1"/>
      </rPr>
      <t>Produktit 1</t>
    </r>
    <r>
      <rPr>
        <b/>
        <sz val="8"/>
        <color theme="1"/>
        <rFont val="Garamond"/>
        <family val="1"/>
      </rPr>
      <t xml:space="preserve"> sipas Artikujve Ekonomikë</t>
    </r>
  </si>
  <si>
    <t>Kontroll</t>
  </si>
  <si>
    <t>Kosto totale e produktit X</t>
  </si>
  <si>
    <t>Kosto totale e produktit sipas artikujve ekonomikë</t>
  </si>
  <si>
    <r>
      <t xml:space="preserve">Detajimi i Kostos Totale të </t>
    </r>
    <r>
      <rPr>
        <b/>
        <sz val="8"/>
        <color rgb="FFFF0000"/>
        <rFont val="Garamond"/>
        <family val="1"/>
      </rPr>
      <t>Produktit 1</t>
    </r>
    <r>
      <rPr>
        <b/>
        <sz val="8"/>
        <color theme="1"/>
        <rFont val="Garamond"/>
        <family val="1"/>
      </rPr>
      <t xml:space="preserve"> </t>
    </r>
    <r>
      <rPr>
        <sz val="8"/>
        <color theme="1"/>
        <rFont val="Garamond"/>
        <family val="1"/>
      </rPr>
      <t>sipas Artikujve Ekonomikë</t>
    </r>
  </si>
  <si>
    <r>
      <rPr>
        <b/>
        <sz val="8"/>
        <color rgb="FFFF0000"/>
        <rFont val="Garamond"/>
        <family val="1"/>
      </rPr>
      <t xml:space="preserve">Produkti X </t>
    </r>
    <r>
      <rPr>
        <sz val="8"/>
        <color theme="1"/>
        <rFont val="Garamond"/>
        <family val="1"/>
      </rPr>
      <t>(shto produkte sipas rastit)</t>
    </r>
  </si>
  <si>
    <r>
      <t xml:space="preserve">Detajimi i Kostos Totale të </t>
    </r>
    <r>
      <rPr>
        <b/>
        <sz val="8"/>
        <color rgb="FFFF0000"/>
        <rFont val="Garamond"/>
        <family val="1"/>
      </rPr>
      <t>Produktit X</t>
    </r>
    <r>
      <rPr>
        <b/>
        <sz val="8"/>
        <color theme="1"/>
        <rFont val="Garamond"/>
        <family val="1"/>
      </rPr>
      <t xml:space="preserve"> </t>
    </r>
    <r>
      <rPr>
        <sz val="8"/>
        <color theme="1"/>
        <rFont val="Garamond"/>
        <family val="1"/>
      </rPr>
      <t>sipas Artikujve Ekonomikë</t>
    </r>
  </si>
  <si>
    <r>
      <t xml:space="preserve">Totali i shpenzimeve buxhetore për Politika të Reja </t>
    </r>
    <r>
      <rPr>
        <b/>
        <sz val="9"/>
        <color rgb="FFFF0000"/>
        <rFont val="Garamond"/>
        <family val="1"/>
      </rPr>
      <t>sipas produkteve</t>
    </r>
    <r>
      <rPr>
        <b/>
        <sz val="9"/>
        <color theme="1"/>
        <rFont val="Garamond"/>
        <family val="1"/>
      </rPr>
      <t>****</t>
    </r>
  </si>
  <si>
    <r>
      <t xml:space="preserve">Totali i shpenzimeve buxhetore për Politika të Reja </t>
    </r>
    <r>
      <rPr>
        <b/>
        <sz val="9"/>
        <color rgb="FFFF0000"/>
        <rFont val="Garamond"/>
        <family val="1"/>
      </rPr>
      <t>sipas artikujve</t>
    </r>
    <r>
      <rPr>
        <b/>
        <sz val="9"/>
        <color theme="1"/>
        <rFont val="Garamond"/>
        <family val="1"/>
      </rPr>
      <t>****</t>
    </r>
  </si>
  <si>
    <t>Kosto totale e produktit</t>
  </si>
  <si>
    <t>Rrjeshti"Kontroll" shërben për të kontrolluar nëse është bërë ndonjë gabim llogjikë. Ai kontrollon që totati I kostos së produktit është I bararabartë me totalin e kostos së produktit sipas artikujve ekonomik. Në rast se ky total nuk është në rregull, formula gjeneron automatikisht mesazhin "Error", duke ju paralajmëruar që është bërë një gabim.</t>
  </si>
  <si>
    <t>Emri</t>
  </si>
  <si>
    <t>Nenshkrimi</t>
  </si>
  <si>
    <t>Data</t>
  </si>
  <si>
    <t>Koordinatori i GMS/ Nepunesi Autorizues</t>
  </si>
  <si>
    <t xml:space="preserve">FORMAT 2: FORMATI STANDARD I PËRGATITJES SË KËRKESAVE BUXHETORE PBA 2019-2021 </t>
  </si>
  <si>
    <t>FORMAT 3: FORMATI STANDARD I PËRGATITJES SË KËRKESAVE BUXHETORE PBA 2019-2021</t>
  </si>
  <si>
    <t>Sqarime</t>
  </si>
  <si>
    <t>Kodi i Grupit</t>
  </si>
  <si>
    <t>Emri i Grupit</t>
  </si>
  <si>
    <t>Artikujt</t>
  </si>
  <si>
    <t>Paga (600-601)</t>
  </si>
  <si>
    <t>Korente të Tjera (602-606)</t>
  </si>
  <si>
    <t>Kapitale (230-232) Të Brendshme</t>
  </si>
  <si>
    <t>Kapitale (230-232) Të Huaja</t>
  </si>
  <si>
    <t>Jashtë-buxhetore</t>
  </si>
  <si>
    <t>Totali</t>
  </si>
  <si>
    <t>Emri i Programit</t>
  </si>
  <si>
    <t>PBA 2019 - 2021</t>
  </si>
  <si>
    <t>Kodi i projektit</t>
  </si>
  <si>
    <t xml:space="preserve">Shpenzimet Korrente </t>
  </si>
  <si>
    <t>Shpenzimet Kapitale</t>
  </si>
  <si>
    <t>Kategoria 1: Shpenzimet Administrative Kapitale</t>
  </si>
  <si>
    <t xml:space="preserve">Shënim: Shpjegoni supozimet dhe llogaritjet për Produktin 1 </t>
  </si>
  <si>
    <t>Produkti X (shto produkte sipas rastit)</t>
  </si>
  <si>
    <t xml:space="preserve">230. Aktive të patrupëzuara </t>
  </si>
  <si>
    <t xml:space="preserve">231. Aktive të trupëzuara </t>
  </si>
  <si>
    <t>Kategoria 2: Shpenzimet për projekte investimesh</t>
  </si>
  <si>
    <r>
      <t>Ndryshimi në % i Pagave si pasojë e ndryshimit të sasisë së produktit</t>
    </r>
    <r>
      <rPr>
        <b/>
        <i/>
        <sz val="9"/>
        <color rgb="FFFF0000"/>
        <rFont val="Garamond"/>
        <family val="1"/>
      </rPr>
      <t>**</t>
    </r>
  </si>
  <si>
    <r>
      <t>Ndryshimi në % i Sigurimeve Shoqërore dhe Shendetësore si pasojë e ndryshimit të sasisë së produktit</t>
    </r>
    <r>
      <rPr>
        <b/>
        <i/>
        <sz val="9"/>
        <color rgb="FFFF0000"/>
        <rFont val="Garamond"/>
        <family val="1"/>
      </rPr>
      <t>**</t>
    </r>
  </si>
  <si>
    <r>
      <t>Ndryshimi në % i Mallrave dhe Shërbimeve si pasojë e ndryshimit të sasisë së produktit</t>
    </r>
    <r>
      <rPr>
        <b/>
        <i/>
        <sz val="9"/>
        <color rgb="FFFF0000"/>
        <rFont val="Garamond"/>
        <family val="1"/>
      </rPr>
      <t>**</t>
    </r>
  </si>
  <si>
    <r>
      <t>Ndryshimi në % i Subvencioneve si pasojë e ndryshimit të sasisë së produktit</t>
    </r>
    <r>
      <rPr>
        <b/>
        <i/>
        <sz val="9"/>
        <color rgb="FFFF0000"/>
        <rFont val="Garamond"/>
        <family val="1"/>
      </rPr>
      <t>**</t>
    </r>
  </si>
  <si>
    <r>
      <t>Ndryshimi në % i Transfertave të brendshme si pasojë e ndryshimit të sasisë së produktit</t>
    </r>
    <r>
      <rPr>
        <b/>
        <i/>
        <sz val="9"/>
        <color rgb="FFFF0000"/>
        <rFont val="Garamond"/>
        <family val="1"/>
      </rPr>
      <t>**</t>
    </r>
  </si>
  <si>
    <r>
      <t>Ndryshimi në % i Transfertave të jashtme si pasojë e ndryshimit të sasisë së produktit</t>
    </r>
    <r>
      <rPr>
        <b/>
        <i/>
        <sz val="9"/>
        <color rgb="FFFF0000"/>
        <rFont val="Garamond"/>
        <family val="1"/>
      </rPr>
      <t>**</t>
    </r>
  </si>
  <si>
    <r>
      <t>Ndryshimi në % i Transfertave për familjet dhe individët si pasojë e ndryshimit të sasisë së produktit</t>
    </r>
    <r>
      <rPr>
        <b/>
        <i/>
        <sz val="9"/>
        <color rgb="FFFF0000"/>
        <rFont val="Garamond"/>
        <family val="1"/>
      </rPr>
      <t>**</t>
    </r>
  </si>
  <si>
    <t>Kodi i Projektit të Investimeve****</t>
  </si>
  <si>
    <t>*****Totali i Shpenzimeve të Programit duhet të jetë i barabartë me shumën e kostove totale të produkteve të evidentuar më lart. Totali i cdo Artikulli Ekonomik derivohet nga shuma e Artikujve Ekonomikë të evidentuar në kostimin e secilit produkt.</t>
  </si>
  <si>
    <t>Totali i shpenzimeve të Programit sipas produkteve*****</t>
  </si>
  <si>
    <t>Totali i shpenzimeve të Programit sipas artikujve*****</t>
  </si>
  <si>
    <t>Titullari i Institucionit / Ministri</t>
  </si>
  <si>
    <t>Treguesit e Performancës në nivel Qëllimi*</t>
  </si>
  <si>
    <t>Treguesit e Performancës për Objektivin 1**</t>
  </si>
  <si>
    <t>Shpenzimet Korrente</t>
  </si>
  <si>
    <t>Drejtuesi i Ekipit të Menaxhimit të Programit</t>
  </si>
  <si>
    <t>*Treguesit e Performancës në nivel Qëllimi mund të ndryshojnë nga ato të parashikuara në Formatin 2, si pasojë e Tavaneve Buxhetore për këtë program. EMP duhet të përllogarisë me saktësi se cfarë vlerash të synuara të Treguesve të Performancës në këtë nivel arrihen me Tavanet Buxhetore për këtë program.</t>
  </si>
  <si>
    <t>**Treguesit e Performancës në nivel Objektivi mund të ndryshojnë nga ato të parashikuara në Formatin 2, si pasojë e Tavaneve Buxhetore për këtë program. EMP duhet të përllogarisë me saktësi se cfarë vlerash të synuara të Treguesve të Performancës në nivel objektivi arrihen me Tavanet Buxhetore për këtë program.</t>
  </si>
  <si>
    <t>***Produktet do të rishikohen në sasi dhe në kost, sipas rastit, për të reflektuar Tavanet Buxhetore për këtë program</t>
  </si>
  <si>
    <t xml:space="preserve">****Në këtë fushë vendosni kodin e projektit të investimeve që është regjistruar në sistemin e thesarit. </t>
  </si>
  <si>
    <t>Politikat Ekzistuese në Përputhje me Tavanet Indikative Buxhetore</t>
  </si>
  <si>
    <t xml:space="preserve">FORMAT 2.1 : FORMATI STANDARD I PËRGATITJES SË KËRKESAVE BUXHETORE PBA 2019-2021 </t>
  </si>
  <si>
    <t xml:space="preserve">* Në fushën përbri duhet të specifikohet objektivi i politikës së programit që mund të jetë i ri ose ekzistues. Në rast se është ekzistues, numri i objektivit duhet të jetë i njëjtë me atë të paraqitur në formatin 2 te politikave ekzistuese. </t>
  </si>
  <si>
    <t>Kodi i Projektit të Investimeve***</t>
  </si>
  <si>
    <t>Produkti 1**</t>
  </si>
  <si>
    <t>***Në fushën përbri do të vendoset emërtesa e projektit të ri të investimit që synohet të financohet nëpërmjet kostimit të Politikave të Reja</t>
  </si>
  <si>
    <t>** Në këtë fushë dhe në fushën përbri do të specifikohen produktet të cilat mund të jenë të identifikuara më parë
 në kostimin e Politikave Ekzistuese apo janë tërësisht të reja, në varësi të objektivave të politikës të evidentuara më sipër.</t>
  </si>
  <si>
    <t>****Totali i Shpenzimeve Buxhetore për Politika të Reja duhet të derivojë si shumë e të gjitha kostove totale të Produkteve të përcaktuara më sipër, si dhe të përputhet plotësisht dhe me shumën e të gjithë artikujve ekonomikë më poshtë</t>
  </si>
  <si>
    <t>Ministria e Arsimit Sportit dhe Rinise</t>
  </si>
  <si>
    <t xml:space="preserve">Programi Buxhetor Afatmesëm </t>
  </si>
  <si>
    <t>Qellimi i Politikes se Programit</t>
  </si>
  <si>
    <r>
      <t xml:space="preserve">Detajimi i Kostos Totale të </t>
    </r>
    <r>
      <rPr>
        <b/>
        <sz val="10"/>
        <color rgb="FFFF0000"/>
        <rFont val="Garamond"/>
        <family val="1"/>
      </rPr>
      <t>Produktit 1</t>
    </r>
    <r>
      <rPr>
        <b/>
        <sz val="10"/>
        <color theme="1"/>
        <rFont val="Garamond"/>
        <family val="1"/>
      </rPr>
      <t xml:space="preserve"> sipas Artikujve Ekonomikë</t>
    </r>
  </si>
  <si>
    <r>
      <t>Detajimi i Kostos Totale të</t>
    </r>
    <r>
      <rPr>
        <b/>
        <sz val="10"/>
        <color rgb="FFFF0000"/>
        <rFont val="Garamond"/>
        <family val="1"/>
      </rPr>
      <t xml:space="preserve"> Produktit X </t>
    </r>
    <r>
      <rPr>
        <b/>
        <sz val="10"/>
        <color theme="1"/>
        <rFont val="Garamond"/>
        <family val="1"/>
      </rPr>
      <t>sipas Artikujve Ekonomikë</t>
    </r>
  </si>
  <si>
    <r>
      <t xml:space="preserve">Detajimi i Kostos Totale të </t>
    </r>
    <r>
      <rPr>
        <b/>
        <sz val="10"/>
        <color rgb="FFFF0000"/>
        <rFont val="Garamond"/>
        <family val="1"/>
      </rPr>
      <t>Produktit X</t>
    </r>
    <r>
      <rPr>
        <b/>
        <sz val="10"/>
        <color theme="1"/>
        <rFont val="Garamond"/>
        <family val="1"/>
      </rPr>
      <t xml:space="preserve"> sipas Artikujve Ekonomikë</t>
    </r>
  </si>
  <si>
    <r>
      <t xml:space="preserve">Kujdes!! </t>
    </r>
    <r>
      <rPr>
        <i/>
        <sz val="10"/>
        <rFont val="Calibri"/>
        <family val="2"/>
        <scheme val="minor"/>
      </rPr>
      <t>Në format mund të shtohen rreshta për të reflektuar të gjitha produktet e programit. Formati ka formula, të cilat duhen përditësuar sipas llogjikës së paraqitur më sipër.</t>
    </r>
  </si>
  <si>
    <t>Produkti A</t>
  </si>
  <si>
    <t>08140</t>
  </si>
  <si>
    <t>01110</t>
  </si>
  <si>
    <t>Programi zhvillon politika dhe strategji ministeriale. Realizimi i funksionit menaxhues të sistemit arsimor në nivelin qëndror dhe lokal, në funksion të implementimit të suksesshem të planeve strategjike dhe objektivave kombëtare të zhvillimit të arsimit.  Përgatitja e akteve ligjore e nënligjore të sistemit arsimor në përputhje me legjislacionin shqiptar e zhvillimin e tij sipas vlerave të përbashkëtata të sistemeve bashkohore.  Planifikimi dhe përdorimi me dobi, frytshmëri dhe transparence të fondeve publike në përputhje me programin e qeverisë dhe strategjisë kombëtare pë zhvillim dhe integrim. (SKZHI). Maksimizimin, efektivitet dhe efiçiencë të burimeve burimeve njerëzore, financiare dhe materiale në arsim. Mekanizmat e përgjegjshmërisë së shërbimit arsimor ndaj klientëve të drejtpërdrejt dhe shoqërisë civile në tërësi.</t>
  </si>
  <si>
    <t>Planifikimi, Menaxhimi dhe Administrimi</t>
  </si>
  <si>
    <t>Krijimin e një sistemi të përshtatshëm, efektiv dhe efiçient të MFK-së konform standardet ligjore, nëpërmjet menaxhimit me bazë performance.  Eficenca  në përdorim e burimeve financiare e materiale në arsim; efektiviteti në përdorimin e burimeve njerëzore: rritja e  kapaciteteve e aftësive menaxhuese në nivelin qendror (MAS), rajonal (DAR/ ZA), lokal (institucionet arsimore); Vendosja e  mekanizmave  transparente te monitorimit e llogaridhenie. Përgatitja e akteve ligjore e nënligjore të sistemit arsimor në përputhje me legjislacionin shqiptar e zhvillimin e tij sipas vlerave të përbashkëtata të sistemeve bashkohore. Implementimi i stategjive kombëtare.</t>
  </si>
  <si>
    <t>Ministria e Arsimit, Sportit dhe Rinisë</t>
  </si>
  <si>
    <t>Financim Total nga Buxheti+Nga Fin Huaj +Te ardhurta</t>
  </si>
  <si>
    <t>Finacim nga Buxheti I shtetit</t>
  </si>
  <si>
    <t xml:space="preserve">Financimi Huaj </t>
  </si>
  <si>
    <t xml:space="preserve">Financimi nga te ardhurat </t>
  </si>
  <si>
    <t xml:space="preserve">Tabela e detajimit të investimeve për vitin 2018-2019-2021 </t>
  </si>
  <si>
    <t>Entiteti i Qeverisjes</t>
  </si>
  <si>
    <t>Grupi</t>
  </si>
  <si>
    <t>Kod inst..</t>
  </si>
  <si>
    <t>Emri I Institucionit</t>
  </si>
  <si>
    <t>Kapitull</t>
  </si>
  <si>
    <t>Programi</t>
  </si>
  <si>
    <t>Llogaria ekonomike</t>
  </si>
  <si>
    <t>Kodi i Deges se Thesarit</t>
  </si>
  <si>
    <t>Emertimi i projektit te investimit</t>
  </si>
  <si>
    <t>Vlera e 
plote e projektit</t>
  </si>
  <si>
    <t>Vlera e kontrates</t>
  </si>
  <si>
    <t>Viti fillimit</t>
  </si>
  <si>
    <t>Viti perfundimit</t>
  </si>
  <si>
    <t>Vlera e financimit deri ne v.2015</t>
  </si>
  <si>
    <t>Buxheti 2016</t>
  </si>
  <si>
    <t>Pjesa mbetur deri ne fund te v.2016 per projekte ne vazhdim</t>
  </si>
  <si>
    <t>Buxheti 2017</t>
  </si>
  <si>
    <t>Debiti 2018</t>
  </si>
  <si>
    <t>Viti 2018 Sipas MAS</t>
  </si>
  <si>
    <t>Buxheti 2019</t>
  </si>
  <si>
    <t>Buxheti 2020</t>
  </si>
  <si>
    <t>Buxheti 2021</t>
  </si>
  <si>
    <t>s</t>
  </si>
  <si>
    <t>p</t>
  </si>
  <si>
    <t>PLANIFIKIM, MENAXHIM, ADMINISTRIM</t>
  </si>
  <si>
    <t>001</t>
  </si>
  <si>
    <t>11</t>
  </si>
  <si>
    <t xml:space="preserve">Aparati i Ministrisë </t>
  </si>
  <si>
    <t>01</t>
  </si>
  <si>
    <t>2310000</t>
  </si>
  <si>
    <t>M112408</t>
  </si>
  <si>
    <t>Pajisje mobilerie Zyre -Aparati MAS/ dhe zyrat e DAR/ZA dhe agjensive IZHA&amp;QSHA</t>
  </si>
  <si>
    <t>2016</t>
  </si>
  <si>
    <t>2019</t>
  </si>
  <si>
    <t>M110468</t>
  </si>
  <si>
    <t>Fond i ngrire</t>
  </si>
  <si>
    <t>M112542</t>
  </si>
  <si>
    <t>Blerje pajisjesh  per videokonference (detyrim KONTRATE)</t>
  </si>
  <si>
    <t>2017</t>
  </si>
  <si>
    <t>1011009</t>
  </si>
  <si>
    <t>Drejtoria Arsimore Rajonale Fier</t>
  </si>
  <si>
    <t>0909</t>
  </si>
  <si>
    <t>M112617</t>
  </si>
  <si>
    <t>Rikonstruksion i godinës së DAR Fier (detyrim kontrate))</t>
  </si>
  <si>
    <t>1011123</t>
  </si>
  <si>
    <t>Zyra Arsimore Mirditë</t>
  </si>
  <si>
    <t>M112623</t>
  </si>
  <si>
    <t>Rikonstruksion i  godinës së  ZA Mirdite (detyrim kontrate)</t>
  </si>
  <si>
    <t>3535</t>
  </si>
  <si>
    <t>M112684</t>
  </si>
  <si>
    <t>Rikonstruksione te ambjenteve te IZHA &amp; QSHA</t>
  </si>
  <si>
    <t>2018</t>
  </si>
  <si>
    <t>M111913</t>
  </si>
  <si>
    <t xml:space="preserve">Projektim -supervizim </t>
  </si>
  <si>
    <t>Drejtoria Arsimore Rajonale Kukës</t>
  </si>
  <si>
    <t>1818</t>
  </si>
  <si>
    <t xml:space="preserve"> Rikonstruksion i godinës së DAR Kukës</t>
  </si>
  <si>
    <t xml:space="preserve">Zyra Arsimore Sarandë </t>
  </si>
  <si>
    <t>3731</t>
  </si>
  <si>
    <t xml:space="preserve"> Rikonstruksion i godinës së ZA Sarande </t>
  </si>
  <si>
    <t xml:space="preserve">Zyra Arsimore Devoll </t>
  </si>
  <si>
    <t>1505</t>
  </si>
  <si>
    <t xml:space="preserve"> Rikonstruksion i godinës së ZA Devoll</t>
  </si>
  <si>
    <t>Zyra Arsimore Kucovë</t>
  </si>
  <si>
    <t>0217</t>
  </si>
  <si>
    <t xml:space="preserve"> Rikonstruksion i godinës së ZA Kucove </t>
  </si>
  <si>
    <t>Drejtoria Arsimore Rajonale  Qark Tirane</t>
  </si>
  <si>
    <t xml:space="preserve"> Rikonstruksion i godinës së DAR  Qark Tirane</t>
  </si>
  <si>
    <t>ARSIMI  BAZË</t>
  </si>
  <si>
    <t>09120</t>
  </si>
  <si>
    <t>M112685</t>
  </si>
  <si>
    <t>Fondi per Zhvillimin e Rajoneve 2016 -2017-2018 (per projekte te miratuar ne vitin 2016-2017, por pa lidhur kontrata si dhe fond per vitin 2018-2019-2020)</t>
  </si>
  <si>
    <t>M112686</t>
  </si>
  <si>
    <t>(Ndertime te reja/ shtesa shkollash 2017-2018 -2019 -2020(Ndertime te reja/ shtesa)</t>
  </si>
  <si>
    <t>M112551</t>
  </si>
  <si>
    <t>Pajisje mobileri arsimi baze</t>
  </si>
  <si>
    <t>M112624</t>
  </si>
  <si>
    <t>Krijim fond bibliotekash per shkollat e arsimit baze</t>
  </si>
  <si>
    <t>M112625</t>
  </si>
  <si>
    <t>Pajisje laboratorike,Fizike-Kimi _Bilogji  Arsimi baze</t>
  </si>
  <si>
    <t>M111846</t>
  </si>
  <si>
    <t>Pajisje mobilierie dhe pajisje mesimore  per  arsimin parashkollor</t>
  </si>
  <si>
    <t>124</t>
  </si>
  <si>
    <t>2124001</t>
  </si>
  <si>
    <t>Bashkia Kucove</t>
  </si>
  <si>
    <t>M112704</t>
  </si>
  <si>
    <t>Rikonstruksion i sheshit dhe fushave sportive tek shkollat "Gaqi Karakashi" dhe "28 Nentori"</t>
  </si>
  <si>
    <t>139</t>
  </si>
  <si>
    <t>Bashkia Skrapar</t>
  </si>
  <si>
    <t>0232</t>
  </si>
  <si>
    <t>M112705</t>
  </si>
  <si>
    <t>Rikonstruksion i shkolles 9-vjecare "Karaman Ylli", bashkia Çorovode</t>
  </si>
  <si>
    <t>132</t>
  </si>
  <si>
    <t>2132001</t>
  </si>
  <si>
    <t>Bashkia Mat</t>
  </si>
  <si>
    <t>0625</t>
  </si>
  <si>
    <t>M112706</t>
  </si>
  <si>
    <t>Rik I shkolles 9-vjecare "31 Korriku" B.Mat</t>
  </si>
  <si>
    <t>Bashkia Klos</t>
  </si>
  <si>
    <t>M112707</t>
  </si>
  <si>
    <t>Rikonstruksion i shkolles 9-vjecare "Ramiz Kadiu",  Bejn , Bashkia Klos</t>
  </si>
  <si>
    <t>Bashkia Durres</t>
  </si>
  <si>
    <t>0707</t>
  </si>
  <si>
    <t>M112708</t>
  </si>
  <si>
    <t>Rikonstruksion dhe shtese anesore dhe palester e re ne shkollen "14 Nentori"</t>
  </si>
  <si>
    <t>109</t>
  </si>
  <si>
    <t>2109001</t>
  </si>
  <si>
    <t>Bashkia Elbasan</t>
  </si>
  <si>
    <t>0808</t>
  </si>
  <si>
    <t>M112710</t>
  </si>
  <si>
    <t>Rikonsteruksion I shkolles 9-vjecare, Ali Agjahu</t>
  </si>
  <si>
    <t>134</t>
  </si>
  <si>
    <t>Bashkia Peqin</t>
  </si>
  <si>
    <t>0827</t>
  </si>
  <si>
    <t>M112711</t>
  </si>
  <si>
    <t xml:space="preserve">Rikonstruksion i shkolles 9-vjecare Gjocaj+ ndertim palester+ambjente sherbimi shkolla Gjocaj </t>
  </si>
  <si>
    <t>Bashkia Prrenjas</t>
  </si>
  <si>
    <t>0821</t>
  </si>
  <si>
    <t>M112712</t>
  </si>
  <si>
    <t>Rikonstruksion i shkolles "Qybra Sokoli"</t>
  </si>
  <si>
    <t>Bashkia Lushnje</t>
  </si>
  <si>
    <t>0922</t>
  </si>
  <si>
    <t>M112714</t>
  </si>
  <si>
    <t>Rikonstruksion I kompleksit te shkollave Fier-Shehgan (2 shkolla +Plester+terrene sportive) Bashkia Lushnje</t>
  </si>
  <si>
    <t>M112715</t>
  </si>
  <si>
    <t>Rikonstruksion i shkolles 9-vjecare Krutje</t>
  </si>
  <si>
    <t>147</t>
  </si>
  <si>
    <t>2147001</t>
  </si>
  <si>
    <t>Bashkia Divjake</t>
  </si>
  <si>
    <t>M112716</t>
  </si>
  <si>
    <t xml:space="preserve">Rikonstruksion I shkolles Koli Sako, qyteti Divjake </t>
  </si>
  <si>
    <t>122</t>
  </si>
  <si>
    <t>2122001</t>
  </si>
  <si>
    <t>Bashkia Korçe</t>
  </si>
  <si>
    <t>1515</t>
  </si>
  <si>
    <t>M112717</t>
  </si>
  <si>
    <t>Rikonstruksion i shkolles 9-vjecare "Abdulla Asabella", Vincan</t>
  </si>
  <si>
    <t>M112718</t>
  </si>
  <si>
    <t>Rikonstruksion+shtese i shkolles 9-vjecare Lumalas</t>
  </si>
  <si>
    <t>168</t>
  </si>
  <si>
    <t>2168001</t>
  </si>
  <si>
    <t>Bashkia Maliq</t>
  </si>
  <si>
    <t>M112719</t>
  </si>
  <si>
    <t>Rehabilitim i shkolles 9-vjecare Podgorie dhe rijetezimi i terreneve sportive te shkolles, Nj.Ad.Vreshtas</t>
  </si>
  <si>
    <t>120</t>
  </si>
  <si>
    <t>2120001</t>
  </si>
  <si>
    <t>Bashkia Kolonje</t>
  </si>
  <si>
    <t>1514</t>
  </si>
  <si>
    <t>M112720</t>
  </si>
  <si>
    <t>Rikonstruksion i shkolles 9-vjeçare "Papa Kristo Negovani" Erseke</t>
  </si>
  <si>
    <t>126</t>
  </si>
  <si>
    <t>2126001</t>
  </si>
  <si>
    <t>Bashkia Kurbin</t>
  </si>
  <si>
    <t>M112721</t>
  </si>
  <si>
    <t>Rikonstruksion i godines+palestres dhe ambjenteve sportive shkolla 9-vjecare "Gjin Pjetri"</t>
  </si>
  <si>
    <t>133</t>
  </si>
  <si>
    <t>2133001</t>
  </si>
  <si>
    <t>Bashkia Mirdite</t>
  </si>
  <si>
    <t>2026</t>
  </si>
  <si>
    <t>M112723</t>
  </si>
  <si>
    <t>Rikonstruksion I konviktit te shkolles se mesme, Mirdite</t>
  </si>
  <si>
    <t>141</t>
  </si>
  <si>
    <t>2141001</t>
  </si>
  <si>
    <t>Bashkia Shkoder</t>
  </si>
  <si>
    <t>3333</t>
  </si>
  <si>
    <t>M112724</t>
  </si>
  <si>
    <t>Rikonstruksion i pjesshem i shkolles 9-vjecare "Ura e Shtrenjte", Postribe</t>
  </si>
  <si>
    <t>101</t>
  </si>
  <si>
    <t>2101001</t>
  </si>
  <si>
    <t>Bashkia Tirane</t>
  </si>
  <si>
    <t>M112726</t>
  </si>
  <si>
    <t xml:space="preserve">Rikonstrukion i shkolles 9-vecare Dora Distria </t>
  </si>
  <si>
    <t>156</t>
  </si>
  <si>
    <t>2156001</t>
  </si>
  <si>
    <t>Bashkia Konispol</t>
  </si>
  <si>
    <t>M112727</t>
  </si>
  <si>
    <t>Rikonstruksion i shkolles 9-vjecare "Mehmet Xhaferri +kopesht</t>
  </si>
  <si>
    <t>146</t>
  </si>
  <si>
    <t>2146001</t>
  </si>
  <si>
    <t>Bashkia Vlore</t>
  </si>
  <si>
    <t>3737</t>
  </si>
  <si>
    <t>M112729</t>
  </si>
  <si>
    <t>Palester sportive e mbuluar ne shkollen fillore "Ismail Qemali", Vlore</t>
  </si>
  <si>
    <t>160</t>
  </si>
  <si>
    <t>2160001</t>
  </si>
  <si>
    <t>Bashkia Himare</t>
  </si>
  <si>
    <t>M112730</t>
  </si>
  <si>
    <t>Rik.i shkolles se mesme "Spiro Gjiknuri" dhe kthimi ne nje objekt arsimor 9-vjecar, Bashkia Himare</t>
  </si>
  <si>
    <t>138</t>
  </si>
  <si>
    <t>2138001</t>
  </si>
  <si>
    <t>Bashkia Sarande</t>
  </si>
  <si>
    <t>M112606</t>
  </si>
  <si>
    <t>EKO Kampus Saranda</t>
  </si>
  <si>
    <t>2015</t>
  </si>
  <si>
    <t>107</t>
  </si>
  <si>
    <t>2107001</t>
  </si>
  <si>
    <t>Bashkia Durrës</t>
  </si>
  <si>
    <t>M112642</t>
  </si>
  <si>
    <t>Ndertim I shkolles 9-vjecare  "Marie Kaculini", Durres</t>
  </si>
  <si>
    <t>118</t>
  </si>
  <si>
    <t>2118001</t>
  </si>
  <si>
    <t>Bashkia Kavaje</t>
  </si>
  <si>
    <t>M112661</t>
  </si>
  <si>
    <t>Ndertim i shkolles 9-vjecare "Rilindja", Lagja nr.1 Kavaje</t>
  </si>
  <si>
    <t>M112672</t>
  </si>
  <si>
    <t>Ndertim i shkolles 9-vjeçare "Kosova", Tirane</t>
  </si>
  <si>
    <t>2013</t>
  </si>
  <si>
    <t>2014</t>
  </si>
  <si>
    <t>131</t>
  </si>
  <si>
    <t>2131001</t>
  </si>
  <si>
    <t>Bashkia Mallakaster</t>
  </si>
  <si>
    <t>0924</t>
  </si>
  <si>
    <t>ARSIMI MESËM I PËRGJITHSHËM</t>
  </si>
  <si>
    <t>09230</t>
  </si>
  <si>
    <t>M112689</t>
  </si>
  <si>
    <t>Rikonstruksione shkolle ekzistuese 2018-2019-2020 (Rikonstruksione)</t>
  </si>
  <si>
    <t>M112688</t>
  </si>
  <si>
    <t>Fondi per Zhvillimin e Rajoneve 2018-2019 (Ndertime te reja)</t>
  </si>
  <si>
    <t>M112626</t>
  </si>
  <si>
    <t>Pajisje laboratorike,Fizike-Kimi-Bilogji,  arsimi i mesëm i përgjithshëm</t>
  </si>
  <si>
    <t>M112627</t>
  </si>
  <si>
    <t xml:space="preserve">Pajisje mobilerie arsimi i mesëm i përgjithshem </t>
  </si>
  <si>
    <t>M112629</t>
  </si>
  <si>
    <t>Krijim fondi bibliotekash për shkollat e arsimit të mesëm</t>
  </si>
  <si>
    <t>167</t>
  </si>
  <si>
    <t>2167001</t>
  </si>
  <si>
    <t>Bashkia Ura Vajgurore</t>
  </si>
  <si>
    <t>0202</t>
  </si>
  <si>
    <t>M112702</t>
  </si>
  <si>
    <t>Rikonstruksion i shkolles sw mesme te bashkuar "Refat Bani"</t>
  </si>
  <si>
    <t>102</t>
  </si>
  <si>
    <t>2102001</t>
  </si>
  <si>
    <t>Bashkia Berat</t>
  </si>
  <si>
    <t>M112703</t>
  </si>
  <si>
    <t>Rikonstruksion i shkolles se mesme Starove</t>
  </si>
  <si>
    <t>123</t>
  </si>
  <si>
    <t>2123001</t>
  </si>
  <si>
    <t>Bashkia Kruje</t>
  </si>
  <si>
    <t>0716</t>
  </si>
  <si>
    <t>M112709</t>
  </si>
  <si>
    <t>Rikonstruksion i shkolles se bashkuar Borizane + palester</t>
  </si>
  <si>
    <t>Bashkia Fier</t>
  </si>
  <si>
    <t>M112713</t>
  </si>
  <si>
    <t>Rikonstruksion i shkolles artistike "Jakov Xoxa", fier</t>
  </si>
  <si>
    <t>127</t>
  </si>
  <si>
    <t>2127001</t>
  </si>
  <si>
    <t>Bashkia Lezhe</t>
  </si>
  <si>
    <t>2020</t>
  </si>
  <si>
    <t>M112722</t>
  </si>
  <si>
    <t>Rikonstruksion i shkolles mesme bashkuar Zejmen  Lezhe</t>
  </si>
  <si>
    <t>137</t>
  </si>
  <si>
    <t>2137001</t>
  </si>
  <si>
    <t>Bashkia Puke</t>
  </si>
  <si>
    <t>3330</t>
  </si>
  <si>
    <t>M112725</t>
  </si>
  <si>
    <t>Rikonstruksion shkolla e mesme "Sabah Sinani"</t>
  </si>
  <si>
    <t>M112728</t>
  </si>
  <si>
    <t>Rikonstruksioni I shkolles se mesme "Halim Xhelo" Vlore</t>
  </si>
  <si>
    <t>Bashkia Tiranë</t>
  </si>
  <si>
    <t>M112690</t>
  </si>
  <si>
    <t>Ndertim i salles se koncerteve Liceu Artistik "Jordan Misja", tirane</t>
  </si>
  <si>
    <t>157</t>
  </si>
  <si>
    <t>2157001</t>
  </si>
  <si>
    <t xml:space="preserve">Bashkia Vau Dejes </t>
  </si>
  <si>
    <t>M112734</t>
  </si>
  <si>
    <t>TVSH per bashkefiancim Ndertim i shkolles 9-vjecare dhe e mesme  "MONS LUCIA AGUSTI", VAU I  DEJES, SHKODER</t>
  </si>
  <si>
    <t>1011001</t>
  </si>
  <si>
    <t>04</t>
  </si>
  <si>
    <t>M112680</t>
  </si>
  <si>
    <t>TVSH per projektet e huaja</t>
  </si>
  <si>
    <t>Ministria e Arsimit  Sportit dhe Rinisë</t>
  </si>
  <si>
    <r>
      <t>TVSH- Për projektin SWISSCONTACT ALBANIA (Detyrim sipas nenit 4 te ligjit Nr.9801, datë 13.9.2007  "</t>
    </r>
    <r>
      <rPr>
        <sz val="6"/>
        <color indexed="8"/>
        <rFont val="Times New Roman"/>
        <family val="1"/>
      </rPr>
      <t>PËR RATIFIKIMIN E "</t>
    </r>
    <r>
      <rPr>
        <i/>
        <sz val="6"/>
        <color indexed="8"/>
        <rFont val="Times New Roman"/>
        <family val="1"/>
      </rPr>
      <t>MARRËVESHJES NDËRMJET KËSHILLIT TË MINISTRAVE TË REPUBLIKËS SË SHQIPËRISË DHE KËSHILLIT FEDERAL ZVICERAN</t>
    </r>
  </si>
  <si>
    <t>M112678</t>
  </si>
  <si>
    <t xml:space="preserve">ARSIMI I LARTE </t>
  </si>
  <si>
    <t>09450</t>
  </si>
  <si>
    <t>M112692</t>
  </si>
  <si>
    <t>Fondi Grant per Zhvillimin Institucional 2017-2019-2020   Fond per zhvillim ne IAL, sipas nenit 111 te ligjit 80/2015.</t>
  </si>
  <si>
    <t>M112165</t>
  </si>
  <si>
    <t>Bashkefinacim TVSH Per projektet e huaja, per blerje Pajisje Laboratori  Kerkimore shkoncore</t>
  </si>
  <si>
    <t>vazhdim</t>
  </si>
  <si>
    <t>M112693</t>
  </si>
  <si>
    <t xml:space="preserve">Fond per Blerje pajisje Laboratori Krijim bibliotekave IT  ne IAL publike Fond per Zhvillim Institucional </t>
  </si>
  <si>
    <t>1011160</t>
  </si>
  <si>
    <t xml:space="preserve">Qendra e Sherbimeve te Rrjetit Telematik Akademik, Tirane </t>
  </si>
  <si>
    <t>M112344</t>
  </si>
  <si>
    <t>TVSH -Për projektin e rrjetit telematik</t>
  </si>
  <si>
    <t>M112560</t>
  </si>
  <si>
    <t>Kosto lokale  per projektin e rrjetit telematik</t>
  </si>
  <si>
    <t>Universiteti "A.Moisiu", Durres</t>
  </si>
  <si>
    <t>Ndertim i godines te re universitare. Un Durresit (kontrata ne vazhdim e UAMD Sipas VKZHR nr. 8 date 05.10.2012 )</t>
  </si>
  <si>
    <t>2012</t>
  </si>
  <si>
    <t>02</t>
  </si>
  <si>
    <t>0000</t>
  </si>
  <si>
    <t>GM11024</t>
  </si>
  <si>
    <t>Projekti TEMPUS per disa universitete</t>
  </si>
  <si>
    <t>GM11053</t>
  </si>
  <si>
    <t>FINAC Universiteti Luigj Gurakuqi</t>
  </si>
  <si>
    <t>GM11034</t>
  </si>
  <si>
    <t>Financim i huaj per projekte te kerkimit shkencor, Erazmus +, Tempus Etj, QNRT</t>
  </si>
  <si>
    <t>Universiteti Bujqesor i Tiranes</t>
  </si>
  <si>
    <t>M112735</t>
  </si>
  <si>
    <t>Shpronesime Universitetit Bujqesor i Tiranës ( detyrim sipas VKM nr. 770, date 20.12.2017)</t>
  </si>
  <si>
    <t>KERKIMI SHKENCOR</t>
  </si>
  <si>
    <t>09770</t>
  </si>
  <si>
    <t>1011237</t>
  </si>
  <si>
    <t xml:space="preserve"> Agjencia Kombëtare e Kërkimit Shkencor dhe Inovacionit Tirane</t>
  </si>
  <si>
    <t>M112770</t>
  </si>
  <si>
    <t>Projekte te Kerkimit Shkencor te Agjensise se kerkimit Shkencor transferuar nga KM</t>
  </si>
  <si>
    <t>GM11035</t>
  </si>
  <si>
    <t>Projekte te kerkimit shkencor</t>
  </si>
  <si>
    <t xml:space="preserve"> ZHVILLIMI I SPORTIT</t>
  </si>
  <si>
    <t>M112692 </t>
  </si>
  <si>
    <t>Ndertim/ rehabilitim objekte sportive</t>
  </si>
  <si>
    <t>M112444</t>
  </si>
  <si>
    <t>Ndërtim i Parkut Olimpik Tiranë</t>
  </si>
  <si>
    <t>M122533</t>
  </si>
  <si>
    <t>Supervizim, mbikqyrje dhe kolaudim i punimeve të Parkut Olimpik Tiranë</t>
  </si>
  <si>
    <t>M112737</t>
  </si>
  <si>
    <t>Rehabilitim i 3 qendrave rinore</t>
  </si>
  <si>
    <t>M11274</t>
  </si>
  <si>
    <t>Pajisje per qendrat rinore + sportive</t>
  </si>
  <si>
    <t>GM11036</t>
  </si>
  <si>
    <t>Financim I huaj per projekte te programit te sportit 2018-2020</t>
  </si>
  <si>
    <t>Alokimi i Tavaneve per Programet</t>
  </si>
  <si>
    <t>Tavanet e PBA 2019-2021, sipas VKM nr. 128, date 7.3.2018</t>
  </si>
  <si>
    <t>Zhvillimi i Sportit</t>
  </si>
  <si>
    <t>Arsimi Baze (perfshire parashkollorin)</t>
  </si>
  <si>
    <t>Arsimi i Mesem (i pergjithshem)</t>
  </si>
  <si>
    <t>Arsimi Universitar</t>
  </si>
  <si>
    <t>Fonde per Shkencen dhe Ekselencen</t>
  </si>
  <si>
    <t>Kod Gr.</t>
  </si>
  <si>
    <t>Ministria e Arsimit Sportit dhe Rinisë</t>
  </si>
  <si>
    <t>PBA 2019- 2021</t>
  </si>
  <si>
    <t>Drejtuesi i Ekipit Menaxhues te Programit</t>
  </si>
  <si>
    <t>Sekretari i Pergjithshem</t>
  </si>
  <si>
    <t>Ministri</t>
  </si>
  <si>
    <t>Firma</t>
  </si>
  <si>
    <t>Objektivi 1</t>
  </si>
  <si>
    <t xml:space="preserve">Produkti </t>
  </si>
  <si>
    <t>Pershkrimi i Programit</t>
  </si>
  <si>
    <t>Numri i institucioneve arsimore (Aparati+38 DAR/Za +ISHA + 3 Institu  +13 IAL + 4 Ins ne IAL +AKKSHI instit+25 Instituc/ Federata</t>
  </si>
  <si>
    <t>Treguesit e Performancës për Objektivin 2**</t>
  </si>
  <si>
    <t xml:space="preserve">Krijimin e një sistemi të përshtatshëm, efektiv dhe efiçient të MFK-së konform standardet ligjore , përgatitja e akteve ligjore dhe nënligjore, për implement të planeve strategjike të arsimit me synim përdorimin me eficensë dhe efektivitetit në punë të burimeve njerëzore. Auditimi  i  30% dhe inspektimi në 10-12% të  institucioneve  arsimore, mbështetur në praktikat më të mira ndërkombëtare. </t>
  </si>
  <si>
    <t>Objektivi 3 i Politikës së Programit</t>
  </si>
  <si>
    <t xml:space="preserve"> Rritja dhe zhvillimi i kapaciteteve planifikuese dhe menaxhuese, nëpërmjet programeve trajnuese dhe zhvilluese  me 15 deri 18 %  në vit e punonjësve në MASR, njësive arsimore vendore dhe institucioneve arsimore për 100 -120 punonjë në vit.</t>
  </si>
  <si>
    <t>Numri i punonësve  gjithesej në PM</t>
  </si>
  <si>
    <t>Numri i punonjesve të trajnuar</t>
  </si>
  <si>
    <t>% e institucione te audituara ne formë të plotë apo me plane tematike.</t>
  </si>
  <si>
    <t xml:space="preserve"> Numri i institucioneve te audituara ne formë të plotë/apo auditime tematike dhe inspektimi në 10-12% të  institucioneve  arsimore, mbështetur në praktikat më të mira ndërkombëtare. </t>
  </si>
  <si>
    <r>
      <t>Detajimi i Kostos Totale të</t>
    </r>
    <r>
      <rPr>
        <b/>
        <sz val="10"/>
        <color rgb="FFFF0000"/>
        <rFont val="Garamond"/>
        <family val="1"/>
      </rPr>
      <t xml:space="preserve"> Produktit 2 </t>
    </r>
    <r>
      <rPr>
        <b/>
        <sz val="10"/>
        <color theme="1"/>
        <rFont val="Garamond"/>
        <family val="1"/>
      </rPr>
      <t>sipas Artikujve Ekonomikë</t>
    </r>
  </si>
  <si>
    <t xml:space="preserve">Trajnimi  i punonjësve/specialistëve me qëllim zhvillimi i kapaciteteve planifikuese dhe menaxhuese, nëpërmjet programeve trajnuese dhe zhvilluese  me 15-17%  të punonjësve në MAS, njësive arsimore vendore dhe institucioneve arsimore për 100-120 punonjës. </t>
  </si>
  <si>
    <t xml:space="preserve"> Auditimi  i  30% të  institucioneve  arsimore dhe inspektimi në 10-12% të  institucioneve  arsimore, mbështetur në praktikat më të mira ndërkombëtare. .</t>
  </si>
  <si>
    <t>Treguesit e Performancës për Objektivin 3**</t>
  </si>
  <si>
    <t xml:space="preserve"> % e drejtuesve  të institucioneve arsimore (Shkollave) të trajnuar si menaxhere te institucionit</t>
  </si>
  <si>
    <t xml:space="preserve"> Totali i drejtuesve  të institucioneve arsimore (shkollave te AP), Arsimi  9 vjecar   941 drejtor, Arsimi I mesem 144 drejtor, Shkollat e mesme te bashkuara 204 drejtore= 1289 
 </t>
  </si>
  <si>
    <t xml:space="preserve"> % e  drejtuesve  të institucioneve arsimore (shkollave te AP), ndaj numrit te punonjesve te AP. (Arsimi  9 vjecar   941 drejtor, Arsimi I mesem 144 drejtor, Shkollat e mesme te bashkuara 204 drejtore)</t>
  </si>
  <si>
    <t>Drejtuesve  të institucioneve arsimore si menaxhere te shkolles. Trajnim cdo vit per 80-100 Drejtore te shkolles   për realizimin e autonomisë së institucioneve arsimore/shkollës në funksion të decentralizimi i shërbimit arsimor, si dhe rritjes të autonomisë së shkollave duke fuqizuar kapacitetet planifikuese dhe menaxhuese në shkollë,  në përputhje me parimet e barazise gjinore.</t>
  </si>
  <si>
    <t>Drejtuesve  të institucioneve arsimore si menaxhere te shkolles. Trajnim cdo vit per 80-100 drejtore te shkolles   për realizimin e autonomisë së institucioneve arsimore/shkollës në funksion të decentralizimi i shërbimit arsimor, si dhe rritjes të autonomisë së shkollave duke fuqizuar kapacitetet planifikuese dhe menaxhuese në shkollë,  në përputhje me parimet e barazise gjinore.</t>
  </si>
  <si>
    <t>Objektivi 4 i Politikës së Programit</t>
  </si>
  <si>
    <t>Numri drejtuesve te trajnuar</t>
  </si>
  <si>
    <t xml:space="preserve">Numri  auditimeve dhe inspektimeve </t>
  </si>
  <si>
    <r>
      <t xml:space="preserve">Trajnimi çdo vit për  80-100 drejtuesve  të institucioneve </t>
    </r>
    <r>
      <rPr>
        <b/>
        <sz val="10"/>
        <color theme="1"/>
        <rFont val="Garamond"/>
        <family val="1"/>
      </rPr>
      <t>arsimore si menaxher i shkolles,</t>
    </r>
    <r>
      <rPr>
        <sz val="10"/>
        <color theme="1"/>
        <rFont val="Garamond"/>
        <family val="1"/>
      </rPr>
      <t xml:space="preserve">  për realizimin e autonomisë së institucioneve arsimore/shkollës në funksion të decentralizimi i shërbimit arsimor, si dhe rritjes të autonomisë së shkollave duke fuqizuar kapacitetet planifikuese dhe menaxhuese në shkollë,  në përputhje me parimet e barazise gjinore.</t>
    </r>
  </si>
  <si>
    <t>Numri total I punonjësve te  MASR</t>
  </si>
  <si>
    <t xml:space="preserve"> % e numri të punonjësve të trajnuar</t>
  </si>
  <si>
    <t xml:space="preserve"> % e numrit të punonjësve në Programin  Planifikim Menaxhim</t>
  </si>
  <si>
    <t>Numri total i punonjësve  të MASR</t>
  </si>
  <si>
    <t>Numri i Auditimeve plota dhe tematike te parashikuara</t>
  </si>
  <si>
    <t>Numri i institucioneve arsimore (Aparati+38 DAR/Za +ISHA + 3 Institu  +13 IAL + 4 Ins ne IAL +AKKSHI instit+25 Instituc/ Federata)</t>
  </si>
  <si>
    <t xml:space="preserve"> % e numrit te punonjësve ne Planifikim Menaxhim, ndaj numri te punonjesve te sistemit te arsimit</t>
  </si>
  <si>
    <t>Numri i punonjësve  gjithësej MASR</t>
  </si>
  <si>
    <t xml:space="preserve">% e fondeve te parashikuara per Prog PMA , ndaj totalit te fondeve te MASR </t>
  </si>
  <si>
    <t xml:space="preserve">Fondet e parshikuara Programin Planifikimi Menaxhim Administrim, ne 000 leke </t>
  </si>
  <si>
    <t>Punonjës dhe specialistëve të trajnuar me qëllim zhvillimi i kapaciteteve planifikuese dhe menaxhuese, nëpërmjet programeve trajnuese dhe zhvilluese  me 15-17%  të punonjësve në MAS, njësive arsimore vendore dhe institucioneve arsimore për 100-120 punonjës.</t>
  </si>
  <si>
    <t>%  institucioneve  të Inspektuara në arsimin parauniversitar</t>
  </si>
  <si>
    <t>Numri i punonjësve në Programin Planifikimi Menaxhim Administrim (Pa punonjësit e ISHA-s)</t>
  </si>
  <si>
    <t>Fondet e parshikuara në total për MASR , ne 000 leke</t>
  </si>
  <si>
    <t xml:space="preserve">Numri punonjesve  </t>
  </si>
  <si>
    <t xml:space="preserve">Vleresimi i punes se punonjesve ne MAS,DAR/ZA mbeshtetur ne pershkrimin e punes dhe performancen e vleresimit, pagesa e pagave te punes mbeshtetur dhe ne vleresimin vjetor.
</t>
  </si>
  <si>
    <t>Krijimi i kushteve te punes per punonjesit ne MAS,DAR/ZA, për rishikimin e akteve ligjore dhe nënligjor per implementimin e reformes ne arsim, me synim përdorimin me eficensë dhe efektivitetit në punë të burimeve njerëzore, nëpërmjet përmirësimit të kushteve të punës dhe krijimin e një sistemi të përshtatshëm, efektiv dhe efiçient të MFK-së pwr realizimin e kwrkesave ligjore dhe implementimin e strategjive nw arsim.</t>
  </si>
  <si>
    <t xml:space="preserve">Krijimi i kushteve të punes për punonjesit ne MAS,DAR/ZA, për rishikimin e akteve ligjore dhe nënligjor per implementimin e reformes ne arsim. 
</t>
  </si>
  <si>
    <t>Inv</t>
  </si>
  <si>
    <t>Produktet për Objektivin 4</t>
  </si>
  <si>
    <t>Produktet për Objektivin 3</t>
  </si>
  <si>
    <t>Treguesit e Performancës për Objektivin 4**</t>
  </si>
  <si>
    <t>Shpenzimet Korrente per objektivin 4</t>
  </si>
  <si>
    <t>Vleresimi i punes se punonjesve ne MAS,DAR/ZA mbeshtetur ne pershkrimin e punes dhe performancen e vleresimit, pagesa e pagave te punes mbeshtetur dhe ne vleresimin vjetor. me synim përdorimin me eficensë dhe efektivitetit në punë të burimeve njerëzore, dhe krijimin e një sistemi të përshtatshëm, efektiv dhe efiçient të MFK-së pwr realizimin e kwrkesave ligjore d.</t>
  </si>
  <si>
    <t xml:space="preserve">Produkti X </t>
  </si>
  <si>
    <t>Rikonstruksioni  dhe zgjerimi i mjediseve ekzistuese ne  DAR/ZA, per krijimin e kushteve te punes ne masen 8-10% e institucioneve  MASR,DAR/ZA</t>
  </si>
  <si>
    <r>
      <rPr>
        <b/>
        <sz val="10"/>
        <color theme="1"/>
        <rFont val="Garamond"/>
        <family val="1"/>
      </rPr>
      <t>Rikonstruksioni  dhe zgjerimi i mjediseve ekzistuese ne  DAR/ZA</t>
    </r>
    <r>
      <rPr>
        <sz val="10"/>
        <color theme="1"/>
        <rFont val="Garamond"/>
        <family val="1"/>
      </rPr>
      <t>, per krijimin e kushteve te punes ne masen 8-10% e institucioneve  MASR,DAR/ZA</t>
    </r>
  </si>
  <si>
    <t>Blerja e pajisjeve informatike, profesionale per sherbimet ne MAS,DAR/ZA, per te realizuar ne standarte ciklin e menaxhimit te shpenzimeve, prokurimeve, monitorimit  dhe raportimit financiar te institucioneve te sistemit te MAS, DAR/ZA.</t>
  </si>
  <si>
    <t>Blerja e pajisjeve te mobilierise, per sherbimet ne MAS,DAR/ZA, per te realizuar ne standarte ciklin e menaxhimit te shpenzimeve, prokurimeve, monitorimit  dhe raportimit financiar te institucioneve te sistemit te MAS, DAR/ZA.</t>
  </si>
  <si>
    <t>Blerja e  pajisjeve e mobileri zyre per krijimin e kushteve te punes ne 8-105 e institucineve te MAS,DAR/ZA, per rritjen e cillesise se punes.</t>
  </si>
  <si>
    <t>Numri i zyrave/ posteve te punes te pajisur</t>
  </si>
  <si>
    <t>Numri i zyrave/ posteve te punes te pajisur me mobilieri</t>
  </si>
  <si>
    <t xml:space="preserve">Numri i zyrave /mjediseve te ristruktuara </t>
  </si>
  <si>
    <t>Totali I programit sipas artikujve</t>
  </si>
  <si>
    <t xml:space="preserve"> Numri i Institucioneve arsimore (Totali i drejtuesve  të institucioneve arsimore (shkollave te AP), Arsimi  9 vjecar   941 drejtor, Arsimi I mesem 144 drejtor, Shkollat e mesme te bashkuara 204 drejtore= 1289 
 </t>
  </si>
  <si>
    <t xml:space="preserve"> Numri i Institucioneve arsimore ne AP (Totali i drejtuesve  të institucioneve arsimore (shkollave te AP), Arsimi  9 vjecar   941 drejtor, Arsimi I mesem 144 drejtor, Shkollat e mesme te bashkuara 204 drejtore= 1289 
 </t>
  </si>
  <si>
    <t>Programi për Kërkimin Fondamental dhe Fondin e Ekselencës synon të mbeshtese kërkimin shkencor sipas  prioriteteve kombëtare të zhvillimit shoqëror, ekonomik dhe kulturor të vendit, si dhe tendencave të zhvillimeve globale në shërbim të IAL-ve e komunitetit shkencor. Në këtë kuadër kërkohet që puna kërkimore-shkencore të vihet në funksion të zgjidhjes së problemeve dhe ofrimit të alternativave për zhvillimin e vendit.</t>
  </si>
  <si>
    <t>Fonde per Shkencen</t>
  </si>
  <si>
    <t>Programi i Arsimit Universitar synon zhvillimin e Arsimit të Lartë në përputhje me kërkesat e procesit të Bolonjës dhe të Hapsirës Evropiane të Arsimit të Lartë (HEAL) në funksion të progresit të vendit dhe integrimit  evropian. Sistemi i financimit të arsimit të lartë reformohet për të optimizuar burimet financiare që në nivel kombëtar shkojnë në mbështetje të Arsimit të Lartë. Kjo reformë i përgjigjet kërkesës së lartë për shkollim, krijon hapësirën reale për nxitjen e partneritetit publik privat (PPP) dhe rrit autonominë qeverisëse  të IAL. Ofrimi i studimeve universitare në të tre ciklet e studimit synohet nëpërmjet sigurimit të standarteve duke integruar në mënyrë më efektive mësimdhënien me kërkimin shkencor.</t>
  </si>
  <si>
    <t>Programi synon krijimin e mundësive që nxënësit që përfundojnë arsimin bazë të përfitojnë këtë shërbim arsimor në përputhje me format e përcaktuara në ligjin për sistemin parauniversitar. Përmirësimin e cilësisë së shërbimit arsimor të ofruar në këtë cikël të edukimit.</t>
  </si>
  <si>
    <t>Programi synon krijimin e shanseve të barabarta për të gjithë nxënësit për një arsim cilësor, masiv dhe bashkëkohor; mirë menaxhim të burimeve njerëzore; fuqizimin dhe rritjen e autonomisë shkollore;  shtrirjen dhe zgjerimin e arsimit të mesëm të përgjithshëm;  për rritjen e   nivelit të arsimimit të popullsisë, për ta përafruar atë me standardet evropiane, për të përgatitur qytetarë më të aftë për një shoqëri demokratike.</t>
  </si>
  <si>
    <t>Sigurimi dhe mbrojtja e të drejtave të shtetasve, që merren me edukim fizik dhe sport, në përputhje me Kartën Evropiane të Sportit dhe me rekomandimet e organizatave ndërkombëtare në këtë fushë. Ridimensionimi i edukimit fizik dhe sportiv si pjesë përbërëse e programit të edukimit të nxënësve, studentëve në institucionet arsimore. Të përmirësojmë cilësinë e jetës së të rinjve, përmes  rritjes së pjesëmarrjes të të rinjve në aktivitete rinore, në punësim, në informim, në edukim dhe në vendimarrje.</t>
  </si>
  <si>
    <t>Zhvillimi i Sportit dhe Rinise</t>
  </si>
  <si>
    <t xml:space="preserve">Fuqizimi i funksionit menaxhues të sistemit arsimor në nivelin qëndror dhe lokal, në funksion të implementimit të suksesshem të planeve strategjike dhe objektivave kombëtare të zhvillimit të arsimit.  Përgatitja e akteve ligjore e nënligjore të sistemit arsimor në përputhje me legjislacionin shqiptar e zhvillimin e tij sipas vlerave të përbashkëtata të sistemeve bashkohore.  Planifikimi dhe përdorimi me dobi, frytshmëri dhe transparence të fondeve publike në përputhje me programin e qeverisë dhe strategjisë kombëtare pë zhvillim dhe integrim. (SKZHI). Maksimizimin, efektivitet dhe efiçiencë të burimeve burimeve njerëzore, financiare dhe materiale në arsim. Mekanizmat e përgjegjshmërisë së shërbimit arsimor ndaj klientëve të drejtpërdrejt dhe shoqërisë civile në tërësi.
</t>
  </si>
  <si>
    <t>Pershkrimi</t>
  </si>
  <si>
    <t>Titulli</t>
  </si>
  <si>
    <t>v</t>
  </si>
  <si>
    <t>Programet</t>
  </si>
  <si>
    <r>
      <rPr>
        <b/>
        <sz val="11"/>
        <rFont val="Times New Roman"/>
        <family val="1"/>
      </rPr>
      <t>Misioni i Ministrisë së Arsimit Sportit dhe Rinisë është të sigurojë:</t>
    </r>
    <r>
      <rPr>
        <sz val="11"/>
        <rFont val="Times New Roman"/>
        <family val="1"/>
      </rPr>
      <t xml:space="preserve"> 
Krijimin e një sistemi arsimor që ka në qendër nxënësit me nevojat dhe interesat e tyre,  të krijojë kushte dhe mundësi që nxënësit të ndërtojnë dhe zhvillojnë njohuri, shkathtësi, qëndrime dhe vlera që kërkon shoqëria. Nxënësit të zhvillohen në mënyrë të pavarur e të gjithanshme, të kontribuojnë në ndërtimin e mirëqenies vetjake dhe të shoqërisë shqiptare dhe të përballen në mënyrë të përshtatshme dhe konstruktive me sfidat e jetës dhe mjedisit global. Edukimin e vlerave demokratike e kombëtare dhe zotërimin e njohurive dhe shprehive për ekonominë moderne të tregut;  Edukim të mbështetur në të drejtat e njeriut në përgjithësi dhe të fëmijëve në veçanti;  edukim cilësor;  sipas nevojave dhe interesave të individit, komunitetit dhe shoqërisë në përgjithësi. Sipas standardeve evropiane; Arsimim bazë për të gjithë;  Barazi të shanseve për arsimim për të gjithë qytetarët e Republikës së Shqipërisë;  Mekanizmat e përgjegjshmërisë së shërbimit arsimor ndaj klientëve të drejtpërdrejt dhe shoqërisë civile në tërësi;
Sigurimi dhe mbrojtja e të drejtave të shtetasve, që merren me edukim fizik dhe sport, në përputhje me Kartën Evropiane të Sportit dhe me rekomandimet e organizatave ndërkombëtare në këtë fushë. Ridimensionimi i edukimit fizik dhe sportiv si pjesë përbërëse e programit të edukimit të nxënësve dhe studentëve në institucionet arsimore.  Të përmirsojmë cilësinë e jetës së të rinjve, përmes  rritjes së pjesëmarrjes së tyre aktivitete rinore, në punësim, në informim, në edukim dhe në vendimarrje.
</t>
    </r>
    <r>
      <rPr>
        <b/>
        <sz val="11"/>
        <rFont val="Times New Roman"/>
        <family val="1"/>
      </rPr>
      <t>Arsimi i lartë është e mirë dhe përgjegjësi publike dhe ka për mision</t>
    </r>
    <r>
      <rPr>
        <sz val="11"/>
        <rFont val="Times New Roman"/>
        <family val="1"/>
      </rPr>
      <t xml:space="preserve">, a) të krijojë, të zhvillojë, të përcjellë dhe të mbrojë dijet përmes mësimdhënies, kërkimit shkencor, si dhe të nxisë e të zhvillojë artet, edukimin fizik dhe sportet; b) të formojë specialistë të lartë dhe të përgatisë shkencëtarë të rinj, në përputhje me prioritetet e zhvillimit të vendit, duke kontribuar në rritjen e standardeve të demokracisë në vend; c) të ofrojë mundësi të barabarta për të përfituar nga arsimi i lartë dhe të mësuarit gjatë të gjithë jetës; ç) të kontribuojë në zhvillimin ekonomik, social dhe kulturor në nivel kombëtar dhe rajonal, si dhe në forcimin e sigurisë publike dhe kombëtare; d) të mbështesë prioritetet strategjike dhe interesat e zhvillimit të vendit; dh) të integrojë mësimdhënien me kërkimin shkencor; e) të nxisë bashkëpunimin ndërkombëtar në fushën e arsimit të lartë.
Efektivitetin e administratës arsimore qendrore dhe të njësive të saj vartëse;  Efektivitetin dhe efiçencën e burimeve njerëzore në arsim;  Maksimizimin, efektivitetin dhe efiçiencën e burimeve financiare dhe materiale në arsim.
</t>
    </r>
  </si>
  <si>
    <t>Misioni</t>
  </si>
  <si>
    <t>Ministria e Arsimit  Sportit dhe Rinise</t>
  </si>
  <si>
    <t>2019- 2021</t>
  </si>
  <si>
    <t>Programi Buxhetor Afatmesem</t>
  </si>
  <si>
    <r>
      <t>TVSH- Për projektin SWISSCONTACT ALBANIA (Detyrim sipas nenit 4 te ligjit Nr.9801, datë 13.9.2007  "</t>
    </r>
    <r>
      <rPr>
        <sz val="5"/>
        <color indexed="8"/>
        <rFont val="Times New Roman"/>
        <family val="1"/>
      </rPr>
      <t>PËR RATIFIKIMIN E "</t>
    </r>
    <r>
      <rPr>
        <i/>
        <sz val="5"/>
        <color indexed="8"/>
        <rFont val="Times New Roman"/>
        <family val="1"/>
      </rPr>
      <t>MARRËVESHJES NDËRMJET KËSHILLIT TË MINISTRAVE TË REPUBLIKËS SË SHQIPËRISË DHE KËSHILLIT FEDERAL ZVICERAN</t>
    </r>
  </si>
  <si>
    <t>Buxheti 2018</t>
  </si>
  <si>
    <t>1. Trajnim cdo vit për afro 15-17% të punonjësve  të MAS dhe DAR/ZA. Numri i punonjësve të trajnuar cdo vit 100-120 punonjës, në përputhje me parimet e barazise gjinore). 
2. Në 100% e  institucioneve  të MAS  të implementohet dhe funksionojë sistemi EMIS.   
3. Investime në aktiveve të qëndrueshme të trupëzuara me afro 10-12% në vit.   
4. Auditimi  në 30% e  Instituc arsimore në vit;   
5. Inspektimi  në 10-12% e  Instituci  arsimore në vit;  
6. Numri i akteve ligjore dhe nënligjore të miratuara (Rishikimi akteve ligjor/nëligjore, sistemi efektiv dhe efiçient të MFK-së,  përafrimi i aktet ligjor kombëtar me atë të BE ( acquis communautaire). 
7. Publikimi 3-herë raporteve të monitorimit të strategjive të MAS, si dhe raportimet për nënkomitet e BE.  
8. Trajnim cdo vit i  NA dhe NZ  të institucioneve arsimore, në funksion të menaxhimit.</t>
  </si>
  <si>
    <t>Standardet e Politikes se Programit</t>
  </si>
  <si>
    <r>
      <t xml:space="preserve"> 1). Rritja dhe zhvillimi i kapaciteteve planifikuese dhe menaxhuese, nëpërmjet programeve trajnuese dhe zhvilluese  me 16-18%  të punonjësve në MAS, njësive arsimore vendore dhe institucioneve arsimore për 110-130 punonjës.  2). Krijimin e një sistemi të përshtatshëm, efektiv dhe efiçient të MFK-së konform standardet ligjore , përgatitja e akteve ligjore dhe nënligjore, për implement të planeve strategjike të arsimit me synim përdorimin me eficensë dhe efektivitetit në punë të burimeve njerëzore, nëpërmjet përmirësimit të kushteve të punës, rinovimit të paisjeve e aseteve të qëndrueshme  me 10% në vit, pajisjeve të zyrave, pajisje teknollogjike, rikonstruksionin/zgjerimit e objekteve ekzistuese.   3). Vlerësimi i cilësisë së shërbimit arsimor mbi bazën e treguesve, duke ndërtuar një sistem të qëndrueshëm e transparent monitorimi, në planifikimin dhe përdorim e burimeve njerëzore, financiare dhe materiale në arsim.  4). Auditimi  i  30% dhe inspektimi në 10-12% të  institucioneve  arsimore, mbështetur në praktikat më të mira ndërkombëtare.  5). Trajnimi çdo vit për 100-110 drejtuesve  të institucioneve arsimore  për realizimin e autonomisë së institucioneve arsimore/shkollës në funksion të decentralizimi i shërbimit arsimor, si dhe rritjes të autonomisë së shkollave duke fuqizuar kapacitetet planifikuese dhe menaxhuese në shkollë, në përputhje me parimet e barazise gjinore.</t>
    </r>
    <r>
      <rPr>
        <b/>
        <sz val="10"/>
        <rFont val="Times New Roman"/>
        <family val="1"/>
      </rPr>
      <t xml:space="preserve">  </t>
    </r>
  </si>
  <si>
    <t>Viti 3_2021</t>
  </si>
  <si>
    <t>1). Rritja dhe zhvillimi i kapaciteteve planifikuese dhe menaxhuese, nëpërmjet programeve trajnuese dhe zhvilluese  me 15-17%  të punonjësve në MAS, njësive arsimore vendore dhe institucioneve arsimore për 100-120 punonjës.  2). Krijimin e një sistemi të përshtatshëm, efektiv dhe efiçient të MFK-së konform standardet ligjore , përgatitja e akteve ligjore dhe nënligjore, për implement të planeve strategjike të arsimit me synim përdorimin me eficensë dhe efektivitetit në punë të burimeve njerëzore, nëpërmjet përmirësimit të kushteve të punës, rinovimit të paisjeve e aseteve të qëndrueshme  me 10% në vit, pajisjeve të zyrave, pajisje teknollogjike, rikonstruksionin/zgjerimit e objekteve ekzistuese.  3). Vlerësimi i cilësisë së shërbimit arsimor mbi bazën e treguesve, duke ndërtuar një sistem të qëndrueshëm e transparent monitorimi, në planifikimin dhe përdorim e burimeve njerëzore, financiare dhe materiale në arsim. 4). Auditimi  i  30% dhe inspektimi në 10-12% të  institucioneve  arsimore, mbështetur në praktikat më të mira ndërkombëtare.  5). Trajnimi çdo vit për  100 drejtuesve  të institucioneve arsimore  për realizimin e autonomisë së institucioneve arsimore/shkollës në funksion të decentralizimi i shërbimit arsimor, si dhe rritjes të autonomisë së shkollave duke fuqizuar kapacitetet planifikuese dhe menaxhuese në shkollë, në përputhje me parimet e barazise gjinore.</t>
  </si>
  <si>
    <t>Viti 2_2020</t>
  </si>
  <si>
    <t xml:space="preserve"> 1). Rritja dhe zhvillimi i kapaciteteve planifikuese dhe menaxhuese, nëpërmjet programeve trajnuese dhe zhvilluese  me 15-17%  të punonjësve në MAS, njësive arsimore vendore dhe institucioneve arsimore për 100-120 punonjës.  2). Krijimin e një sistemi të përshtatshëm, efektiv dhe efiçient të MFK-së konform standardet ligjore , përgatitja e akteve ligjore dhe nënligjore, për implement të planeve strategjike të arsimit me synim përdorimin me eficensë dhe efektivitetit në punë të burimeve njerëzore, nëpërmjet përmirësimit të kushteve të punës, rinovimit të paisjeve e aseteve të qëndrueshme  me 10% në vit, pajisjeve të zyrave, pajisje teknollogjike, rikonstruksionin/zgjerimit e objekteve ekzistuese. 3). Vlerësimi i cilësisë së shërbimit arsimor mbi bazën e treguesve, duke ndërtuar një sistem të qëndrueshëm e transparent monitorimi, në planifikimin dhe përdorim e burimeve njerëzore, financiare dhe materiale në arsim. 4). Auditimi  i  30% dhe inspektimi në 10-12% të  institucioneve  arsimore, mbështetur në praktikat më të mira ndërkombëtare. 5). Trajnimi çdo vit për  100 drejtuesve  të institucioneve arsimore  për realizimin e autonomisë së institucioneve arsimore/shkollës në funksion të decentralizimi i shërbimit arsimor, si dhe rritjes të autonomisë së shkollave duke fuqizuar kapacitetet planifikuese dhe menaxhuese në shkollë, në përputhje me parimet e barazise gjinore.  </t>
  </si>
  <si>
    <t>Viti 1_2019</t>
  </si>
  <si>
    <t xml:space="preserve"> 1). Rritja dhe zhvillimi i kapaciteteve planifikuese dhe menaxhuese, nëpërmjet programeve trajnuese dhe zhvilluese  me 15%  të punonjësve në MAS, njësive arsimore vendore dhe institucioneve arsimore për 80-100 punonjës.  2). Krijimin e një sistemi të përshtatshëm, efektiv dhe efiçient të MFK-së konform standardet ligjore , përgatitja e akteve ligjore dhe nënligjore, për implement të planeve strategjike të arsimit me synim përdorimin me eficensë dhe efektivitetit në punë të burimeve njerëzore, nëpërmjet përmirësimit të kushteve të punës, rinovimit të paisjeve e aseteve të qëndrueshme  me 10% në vit, pajisjeve të zyrave, pajisje teknollogjike, rikonstruksionin/zgjerimit e objekteve ekzistuese.  3). Vlerësimi i cilësisë së shërbimit arsimor mbi bazën e treguesve, duke ndërtuar një sistem të qëndrueshëm e transparent monitorimi, në planifikimin dhe përdorim e burimeve njerëzore, financiare dhe materiale në arsim.  4). Auditimi  i  30% dhe inspektimi në 10-12% të  institucioneve  arsimore, mbështetur në praktikat më të mira ndërkombëtare. 5). Trajnimi çdo vit për  80-100 drejtuesve  të institucioneve arsimore  për realizimin e autonomisë së institucioneve arsimore/shkollës në funksion të decentralizimi i shërbimit arsimor, si dhe rritjes të autonomisë së shkollave duke fuqizuar kapacitetet planifikuese dhe menaxhuese në shkollë,  në përputhje me parimet e barazise gjinore.  </t>
  </si>
  <si>
    <t>Viti 0_2018</t>
  </si>
  <si>
    <t>Objektivat e Politikes se Programit</t>
  </si>
  <si>
    <t>Pershkrimi I Programit</t>
  </si>
  <si>
    <t>Viti Fiskal</t>
  </si>
  <si>
    <t>Deklarata e Politikes se Programit</t>
  </si>
  <si>
    <t>Viti 2021</t>
  </si>
  <si>
    <t>Viti |_2020</t>
  </si>
  <si>
    <t>Viti 2018</t>
  </si>
  <si>
    <t>Siguron një shërbim më cilësor në  arsimin  parashkollor dhe  bazë. Siguron arsim të mbështetur në të drejtat e njeriut në përgjithësi dhe të fëmijëve në veçanti; krijimin e shanseve dhe kushteve të barabarta arsimimi  për  të gjithë fëmijët; përmirësimin e metodave didaktike  bazuar në  kompetenca, reformimin e  kurrikulës; reduktimin drejt zeros të  braktisjes shkollore dhe përfshirjen e të gjithë fëmijëve 5 vjeçarë në klasa përgatitore. Në bashkëpunim me njësitë bazë të qeverisjes vendore, përgatit kushtet e nevojshme që të gjithë fëmijët të ndjekin arsimin bazë dhe parashkollor.</t>
  </si>
  <si>
    <t>Arsimi Baze (perfshire arsimin parashkollor)</t>
  </si>
  <si>
    <r>
      <t xml:space="preserve">Kujdes!! </t>
    </r>
    <r>
      <rPr>
        <sz val="8"/>
        <rFont val="Times New Roman"/>
        <family val="1"/>
      </rPr>
      <t>Në format mund të shtohen rreshta për të reflektuar të gjitha produktet e programit. Formati ka formula, të cilat duhen përditësuar sipas llogjikës së paraqitur më sipër.</t>
    </r>
  </si>
  <si>
    <t>Numri i Punonjësve me Kontratë të Programit Buxhetor (Praktika profesionale )</t>
  </si>
  <si>
    <r>
      <t xml:space="preserve">Detajimi i Kostos Totale të </t>
    </r>
    <r>
      <rPr>
        <b/>
        <sz val="8"/>
        <color rgb="FFFF0000"/>
        <rFont val="Garamond"/>
        <family val="1"/>
      </rPr>
      <t>Produktit 6</t>
    </r>
    <r>
      <rPr>
        <b/>
        <sz val="8"/>
        <color theme="1"/>
        <rFont val="Garamond"/>
        <family val="1"/>
      </rPr>
      <t xml:space="preserve"> sipas Artikujve Ekonomikë</t>
    </r>
  </si>
  <si>
    <t>Nr. nxenes perfitues</t>
  </si>
  <si>
    <t>Bibloteka  shkollore te krijuara sipas standardeve</t>
  </si>
  <si>
    <t>Produkti 6 i Objektivit 7</t>
  </si>
  <si>
    <r>
      <t xml:space="preserve">Detajimi i Kostos Totale të </t>
    </r>
    <r>
      <rPr>
        <b/>
        <sz val="8"/>
        <color rgb="FFFF0000"/>
        <rFont val="Garamond"/>
        <family val="1"/>
      </rPr>
      <t>Produktit 5</t>
    </r>
    <r>
      <rPr>
        <b/>
        <sz val="8"/>
        <color theme="1"/>
        <rFont val="Garamond"/>
        <family val="1"/>
      </rPr>
      <t xml:space="preserve"> sipas Artikujve Ekonomikë</t>
    </r>
  </si>
  <si>
    <t>Nurmri i klasave te pajisura</t>
  </si>
  <si>
    <t>Furnizimi me pajisje mobilierie i shkollave dhe kopshteve te reja dhe te rehabilituara</t>
  </si>
  <si>
    <t>Produkti 5 i Objektivit 7</t>
  </si>
  <si>
    <t xml:space="preserve">Gjendja e amortizuar  e godinave ekzistuese  e cila kërkon domosdoshmërinë e ndërhyrjes me  investim, për të mos cënuar  standardet e sigurisë së nxënësve në shkolla si dhe mbarëvajtjen në procesin mësimor . 
1- Rehabilitimi i kapaciteteve  ekzistuese  dhe transformimi i tyre në standardet e kërkuara bashkëkohore
2- Rritja e nivelit të sigurisë së nxënësvë gjatë procesit mësimor
3- Rritja e cilësisë së  mësimdhënies dhe mësimnxënies në shkollat  9-vjecare dhe kopshte.
Rikonstruksioni i mjediseve ekzistuese për krijimin e kushteve optimale për rritjen e cilësisë në mësimdhënie në kopshte/shkollat 9-vjecare të vendit. 
</t>
  </si>
  <si>
    <r>
      <t xml:space="preserve">Detajimi i Kostos Totale të </t>
    </r>
    <r>
      <rPr>
        <b/>
        <sz val="8"/>
        <color rgb="FFFF0000"/>
        <rFont val="Garamond"/>
        <family val="1"/>
      </rPr>
      <t>Produktit 4</t>
    </r>
    <r>
      <rPr>
        <b/>
        <sz val="8"/>
        <color theme="1"/>
        <rFont val="Garamond"/>
        <family val="1"/>
      </rPr>
      <t xml:space="preserve"> sipas Artikujve Ekonomikë</t>
    </r>
  </si>
  <si>
    <t>Nr. klasave te rehabilituara</t>
  </si>
  <si>
    <t xml:space="preserve">Reabilitimi i kopshteve dhe shkollave  per rritjen e aksesit të fëmijëve 5 vjeçar me 10% dhe fëmijëve 3-4 vjeçarë. Rritja e kapaciteteve infrastrukturore në shkollat 9-vjecare duke qenë se në këtë nivel arsimimimi është i detyrueshëm si dhe për të krijuar mundësinë e frekuentimit dhe edukimit për gjithë nxënësit me njohuri arsimore bazë </t>
  </si>
  <si>
    <t>Produkti 4 i Objektivit 7</t>
  </si>
  <si>
    <t xml:space="preserve">Kalimi në sistemin 9-vjeçar të arsimit bazë  ka krijuar vështirësi lidhur me mungesën e mjediseve dhe kapaciteteve ekzistuese për zhvillimin normal të mësimit. Gjithashtu  rritja numrit të nxënësve që frekuentojnë shkollat 9-vjecare dikton domosdoshmërinë e  krijimit të infrastrukturës së nevojshme  me ndërtimin e kapaciteteve të reja, në funksion të arritjes së objektivit për rritjen e cilësisë së mësimdhënies dhe mësimnxënies, për uljen e numrit të nxënësve për klasë etj  .  
Rritja e kapaciteteve infrastrukturore në shkollat 9-vjecare duke qenë se në këtë nivel arsimimimi është i detyrueshëm si dhe për të krijuar mundësinë e frekuentimit dhe edukimit për gjithë nxënësit me njohuri arsimore bazë </t>
  </si>
  <si>
    <t>Numri i klasave të ndërtuara</t>
  </si>
  <si>
    <t>Ndertimi i shkollave/kopshteve te reja</t>
  </si>
  <si>
    <t>Produkti 3 i Objektivit 7</t>
  </si>
  <si>
    <r>
      <t xml:space="preserve">Gjendja aktuale jo e mirë dhe e amortizuar  përsa i takon pajisjeve ekzistuese  laboratorike si dhe ne disa raste mungesa e plote e tyre, kërkon kryerjen e investimit për përmirësimin e kushteve në procesin mësimor për pasojë  motivimin si të stafit mësimor në mësimdhënie ashtu edhe të nxënësve në procesin e mësimnxënies ne shkollat  9-vjecare ne te gjithe vendin.
</t>
    </r>
    <r>
      <rPr>
        <sz val="8"/>
        <color theme="1"/>
        <rFont val="Garamond"/>
        <family val="1"/>
      </rPr>
      <t xml:space="preserve">Zëvendësimi i pajisjeve të amortizuara ekzistuese si dhe krijimi i laboratorëve te rinj te pajisur për krijimin e kushteve optimale si për mësuesit dhe për nxënësit, për rritjen e cilësisë në procesin mësimor .
</t>
    </r>
  </si>
  <si>
    <t>Numri i shkollave / klasave te pajisura me laboratore K_F_B</t>
  </si>
  <si>
    <t>Laboratorë  kimie, fizike, biologjie të pajisur dhe funksionalë</t>
  </si>
  <si>
    <t>Produkti 2 i Objektivit 7</t>
  </si>
  <si>
    <t xml:space="preserve">Shpenzimet KAPITALE  </t>
  </si>
  <si>
    <t>Produktet për Objektivin 7</t>
  </si>
  <si>
    <t>Numri i mësuesve të trajnuar</t>
  </si>
  <si>
    <t>Trajnimi i mësuesve të arsimit bazë për përdorimin e sistemit e-learning. Trajnimi i 400 mësuesve të arsimit bazë për amzën digjitale.</t>
  </si>
  <si>
    <t>Produkti 1 i Objektivit 7</t>
  </si>
  <si>
    <t>Treguesit e Performancës për Objektivin 7**</t>
  </si>
  <si>
    <t>Arsimi cilësor e gjithëpërfshirës me synim plotesimin e standardeve  Europiane: ndërtime të reja, rehabilitim e pershtatje te objekteve shkollore per femijet me AK, 850-950 klasa e sigurimi i pajisjes së tyre. Pajisja e  20-25% të shkollave të AB me laborator shkencorë, IT  synimi  një kompjuter për dy nxënës në orë mësimi,  laboratorë virtual  e biblioteka dixhitale  në AB (të paktën 2 set laptop-projektor për çdo  shkollë).Shtimi i investimeve në arsimin bazë me synim përmiresimin e treguesit nxënës/kompjuter; Pajisja e 500 klasa me kompjuter dhe printer. Trajnimi i 500 mësuesve të arsimit bazë për përdorimin e sistemit e-learning. Trajnimi i 2500 mësuesve të arsimit bazë për amzën digjitale.</t>
  </si>
  <si>
    <t>Objektivi 7 i Politikës së Programit</t>
  </si>
  <si>
    <t>Nr i kabineteve të shërbimit psiko-social të modernizuara/rehabilituara</t>
  </si>
  <si>
    <t>Numri i psikologëve dhe punonjësve socialë të trajnuar</t>
  </si>
  <si>
    <t>Treguesit e Performancës për Objektivin 6**</t>
  </si>
  <si>
    <t>Konsolidimi i shërbimit psikolo-social nëpërmjet ngritjes dhe funksionimit të njësisë së shërbimit psiko-social në njësitë arsimore vendore.  Trajnimi i vazhdueshëm i psikologëve (150) dhe punonjësve socialë (150). Ngritja e mekanizmit të supervizimit të shërbimit psiko-social dhe e kapaciteteve të tyre. Modernizimi i kabineteve të shërbimit psiko-social (kompjuter, printer, telefon) dhe pajisja me instrumentet e punes (teste vlerësimi, dosje individuale për çdo nxënës, manuale pune).</t>
  </si>
  <si>
    <t>Objektivi 6 i Politikës së Programit</t>
  </si>
  <si>
    <t>OB 6</t>
  </si>
  <si>
    <t>Numri i mësuesve dhe nxënësve</t>
  </si>
  <si>
    <t>Sherbim transporti per nxenes e mesues qe punojne mbi 5 km nga vend banimi i tyre dhe të nxënësve që punojnë e mësojnë mbi 2km  jashtë vendbanimit,</t>
  </si>
  <si>
    <t>Produkti 1 i Objektivit 5</t>
  </si>
  <si>
    <t>Produktet për Objektivin 5</t>
  </si>
  <si>
    <t xml:space="preserve">Numri I mesuesve gjithsej ne arsimin 9-vjecar </t>
  </si>
  <si>
    <t>Numri I parashikuar I nxwnesve për nxënësit e gjithesej ne arsimin 9 vjecar Kl 1 -Kl 9</t>
  </si>
  <si>
    <t>Numri total i mësuesve ne arsimin 9-vjecar</t>
  </si>
  <si>
    <t>% e  mësuesve të cilëve ju sigurohet transporti</t>
  </si>
  <si>
    <t>Numri I  nxënësve të cilëve ju sigurohet transporti</t>
  </si>
  <si>
    <t>% e nxwnwsve të cilëve ju sigurohet transporti</t>
  </si>
  <si>
    <t>Treguesit e Performancës për Objektivin 5**</t>
  </si>
  <si>
    <t>Sigurimi i transportit të nxënësve për ndjekjen e arsimit parashkollor dhe baze  që mësojnë në një distancë prej më shumë se 2 km nga vendbanimi i përhershëm i tyre si dhe mësuesve që punojnë e banojnë më shumë se rreth 5 km nga vendbanimi i tyre.</t>
  </si>
  <si>
    <t>Objektivi 5 i Politikës së Programit</t>
  </si>
  <si>
    <t>OB 5</t>
  </si>
  <si>
    <t>Kosto totale e produktit 2</t>
  </si>
  <si>
    <r>
      <t xml:space="preserve">Detajimi i Kostos Totale të </t>
    </r>
    <r>
      <rPr>
        <b/>
        <sz val="8"/>
        <color rgb="FFFF0000"/>
        <rFont val="Garamond"/>
        <family val="1"/>
      </rPr>
      <t>Produktit 2</t>
    </r>
    <r>
      <rPr>
        <b/>
        <sz val="8"/>
        <color theme="1"/>
        <rFont val="Garamond"/>
        <family val="1"/>
      </rPr>
      <t xml:space="preserve"> sipas Artikujve Ekonomikë</t>
    </r>
  </si>
  <si>
    <t xml:space="preserve">Numri i fëmijëve </t>
  </si>
  <si>
    <t>Sigurimi i një arsimi cilësor për fëmijët në nevojë, (rritja e treguesit të regjistrimit me 20% ose 400 fëmijë për nxënësit romë dhe egjiptianë, 2% për nxënësit me  AK.</t>
  </si>
  <si>
    <t>Produkti 2 i Objektivit 4</t>
  </si>
  <si>
    <t>Numri i nxënësve qe perfitojne sherbim arsimor</t>
  </si>
  <si>
    <t>Realizimi i sherbimit arsimor ne sistemin 9 vjecar, per permbushjen e funksioneve te edukimit dhe realizimin e misionit te edukimit.</t>
  </si>
  <si>
    <t>Produkti 1 i Objektivit 4</t>
  </si>
  <si>
    <t>Numri I mwsuesve ndihmws pwr AK të emwruar</t>
  </si>
  <si>
    <t>Përqindja e rritjes së mësuesve ndihmës për nxënësit me AK</t>
  </si>
  <si>
    <t>Numri I mesuesve ndihmes per personat me AK</t>
  </si>
  <si>
    <t>Numri I nxenesve te rregjistruar me AK</t>
  </si>
  <si>
    <t>Numri I nxenesve te rregjistruar  rome e egjiptiane</t>
  </si>
  <si>
    <t xml:space="preserve">Sigurimi i një arsimi cilësor dhe gjitheperfshires. Rritja e treguesit të regjistrimit me 25%  për nxënësit romë egjiptianë, 10% për nxënësit me  AK, si dhe nga familje me te ardhura  në nivelin e varfërisë. Rritja me 20 % e numrit të mësuesve ndihmes për nxënësit me AK.Ngritja dhe fuksionimi  prane DAR/ZA i Komisioneve Multidisiplinare per femijet me AK. </t>
  </si>
  <si>
    <t>Kosto totale e produktit A</t>
  </si>
  <si>
    <t>Numri i nxënësve përfitues</t>
  </si>
  <si>
    <t xml:space="preserve">Zhvillim i reformes se  teksteve shkollore për  AB, si dhe kompesimi  inxenesve te shtresat sociale ne nevoje  per nxenes me kerkesa te vecanta, nxenes qe nuk shikojne , nxenes nuk degjojne, nxenes me PLM, rome, egjiptiane etj, dhënia falas e teksteve shkollore të fëmijëve që ndjekin studimet në klasën parë deri në klasën pestë. </t>
  </si>
  <si>
    <t xml:space="preserve">Zhvillim i reformes se  teksteve shkollore për  AB, si dhe kompesimi  inxenesve te shtresat sociale ne nevoje  per nxenes me kerkesa te vecanta, nxenes qe nuk shikojne , nxenes nuk degjojne, nxenes me PLM, rome, egjiptiane, dhënia falas e teksteve shkollore të fëmijëve që ndjekin studimet në klasën parë deri në klasën pestë. </t>
  </si>
  <si>
    <t>Produkti 1 i Objektivit 3</t>
  </si>
  <si>
    <t>Numri I nxnesve për nxënësit e kategorive të përcaktuara në Objektivin 3 për klasat I-IX (Klsa 1-4 si dhe kategorite sociale qe marin tekste falas).</t>
  </si>
  <si>
    <t xml:space="preserve"> %  e nxenesve qe perfitojne tekste shkollore falas</t>
  </si>
  <si>
    <t xml:space="preserve">Zhvillimi i reformës së teksteve shkollore, përmirësimi i cilësisë së teksteve shkollore si dhe kompensimi i cmimit të  teksteve shkollore nga klasa I-IX, në masën 100 % fëmijëve që vijnë nga familje të cilat trajtohen me ndihmë ekonomike dhe pagesë papunësie, fëmijëve që gëzojnë statusin ligjor të jetimit, fëmijëve që gëzojnë statusin e të verbrit, fëmijëve të pakicave kombëtare, për nxënësit romë, egjiptianë,  fëmijëve të familjeve të emigrantëve që jetojnë jashtë territorit të Republikës së Shqipërisë, fëmijët që vijnë nga familje të cilat trajtohen me ndihmë ekonomike dhe pagesë papunësie; fëmijë të familjeve që kanë në përbërjen e tyre anëtarë me aftësi të kufizuar, fëmijë që vijnë nga familje ku kryefamiljari përfiton pension pleqërie shteti dhe kanë fëmijë në ngarkim, të cilët janë pa të ardhura; familje në nevojë, viktimave te trafikimit, si dhe dhënia falas e teksteve shkollore të fëmijëve që ndjekin studimet në klasën parë deri në klasën pestë. </t>
  </si>
  <si>
    <t xml:space="preserve">Buxheti </t>
  </si>
  <si>
    <t>Numri i programeve/kurrikulave</t>
  </si>
  <si>
    <t>Hartimi i kurrikulës lëndore  (kl 2 dhe kl 7). Përgatitja e 40 moduleve trajnuese për kurrikulën e re, si  dhe 8 moduleve për punën me nxënësit me  aftësi të kufizuara</t>
  </si>
  <si>
    <t>Produkti 2 i Objektivit 2</t>
  </si>
  <si>
    <t>Zbatimi/implementimi i kurrikulës së re klasa 1-5 dhe klasa 6-9,  përgatitja e 25 programeve kualifikues, 12 module trajnimi, 40 teste  trajnuese për kurrikulën e re. Trajnimi i 12.000 mësuesve te klasa 4 dhe klasës 9 ( trajnimi 25% te mësueseve të AB) per kurrikulen e re. Në trajnimin për kurrikulën e re përfshihet dhe trajnimi i 40 mësuesve të minoriteteve,  si dhe 200 mesues ndihmes per fëmijët me AK. Trajnimi i 80 mësuesve të diasporës në seminarin mbarëkombëtar për mësuesit e diasporës.</t>
  </si>
  <si>
    <t xml:space="preserve"> Trajnimi i 12.000 mësuesve te klasa 4 dhe klasës 9 ( trajnimi 25% te mësueseve të AB) per kurrikulen e re. Në trajnimin për kurrikulën e re përfshihet dhe trajnimi i 40 mësuesve të minoriteteve,  si dhe 200 mesues ndihmes per fëmijët me AK. Trajnimi i 80 mësuesve të diasporës në seminarin mbarëkombëtar për mësuesit e diasporës.</t>
  </si>
  <si>
    <t>Produkti 1 i Objektivit 2</t>
  </si>
  <si>
    <t>Mesues te diaspores te trajnuar</t>
  </si>
  <si>
    <t>Numri i mwsuesve ndihmws pwr AK të trajnuar</t>
  </si>
  <si>
    <t>Nr i mësuesve të minoriteteve dhe diasporës të tjanuar.</t>
  </si>
  <si>
    <t>Nr. i mësuesve të trajnuar</t>
  </si>
  <si>
    <t>Nr. i mësuesve të trajnuar(edhe në përqindje)</t>
  </si>
  <si>
    <t>Programe kualifikuese, module trajnimi, teste trajnuese të përgatitura</t>
  </si>
  <si>
    <t>OB 2</t>
  </si>
  <si>
    <t>Numri i fëmijëve në parashkollor</t>
  </si>
  <si>
    <t>Të sigurohet rritja e aksesit të fëmijëve në arsimin parashkollor në nivelin 86% e grupmoshës 3-6 vjeç, me synim që grupmosha 5-6 vjec të arrijnë në 95%..Zhvillimi dhe konsolidimi i sherbimit arsimor ne sistemin PARASHKOLLOR , per permbushjen e funksioneve te edukimit dhe realizimin e misionit te edukimit.</t>
  </si>
  <si>
    <t>Të sigurohet rritja e aksesit të fëmijëve në arsimin parashkollor në nivelin 86% e grupmoshës 3-6 vjeç, me synim që grupmosha 5-6 vjec të arrijnë në 95%. Zhvillimi dhe konsolidimi i sherbimit arsimor ne sistemin PARASHKOLLOR , per permbushjen e funksioneve te edukimit dhe realizimin e misionit te edukimit.</t>
  </si>
  <si>
    <t>Produkti 1 i Objektivit 1</t>
  </si>
  <si>
    <t>Numri gjeesej I femijeve te grupmoshes3-6 vjec :INSTAT</t>
  </si>
  <si>
    <t>Numri gjithesej I femijeve te grupmoshes3-6 vjec qe ndjekin arsimin parashkollor</t>
  </si>
  <si>
    <t>Përqindja e aksesit të fëmijëve në arsimin parashkollor</t>
  </si>
  <si>
    <t>.Të sigurohet rritja e aksesit të fëmijëve në arsimin parashkollor në nivelin 86% e grupmoshës 3-6 vjeç, me synim që grupmosha 5-6 vjec të arrijnë në 95%.  Reformimi  i arsimit parashkollor, përmes miratimit te korrnizes se re kurrikulare dhe programeve per cdo grupmoshe per arsimin parashkollor, trajnimit të 900-1000 mësuesve/ edukatorëve (15-20% në vit), rikonstruksionit dhe ndërtimit (100-120 klasa në vit) të kopshteve dhe pajisjes me materiale didaktike.</t>
  </si>
  <si>
    <t xml:space="preserve">OB1 </t>
  </si>
  <si>
    <t>Ne % ndaj shpenz publike</t>
  </si>
  <si>
    <t>Ne % ndaj GDP</t>
  </si>
  <si>
    <t>Strukt ndaj totalit buxh MASR</t>
  </si>
  <si>
    <t>%. i mësuesve të trajnuar te arsimit 9-vjecar, në përqindje ndaj totalit.</t>
  </si>
  <si>
    <t>Nr. i mësuesve të trajnuar kl 2 dhe 7</t>
  </si>
  <si>
    <t>Nr. i mësuesve të trajnuar kl 2 dhe 7(edhe në përqindje)</t>
  </si>
  <si>
    <t>Numri gjithesej I femijeve te grupmoshes 3-6 vjec :INSTAT</t>
  </si>
  <si>
    <t xml:space="preserve">1. 100% e IAL të sigurojnë akreditimi Institucional e akreditim për të gjitha programet e studimit në vitin 2021
2.  100% të IAL- me kurrikula dhe programe të reformuara në 2021;
3. Të sigurohet standardi një vend pune për dy studentë në laborator kërkimorë shkencorë ;
4. Të sigurohet standardi 5-8 m2 për student sipas natyrës së programit të studimeve në vitin 2021;
3. Fonde publike të arrijnë në 2.26% ndaj PBB në vitin 2021 
4. Hartimi i kurrikulave në përputhje me rezultatet e të mësuarit 100% në 2020
5. 100% e të dhënave të stafit akademik, të studentëve, të karrierës akademike, diplomimit, janë në regjistrin EK
6.  95% e doktorantëve janë pjesë e stafeve me kohë të plotë e departamenteve në 2021
7.  30% e financimit për kërkimin shkencor në IAL vjen nga ente private në 2021;
8.  Rritja e mobilitetit të stafit dhe studentëve me 20% në 2018 dhe 40% në 2019 dhe 60% në vitin 2021
9.  100% e studenteve ekselente, studente ne nevoje të perfitojnë bursa e kredi studentore në 2021
</t>
  </si>
  <si>
    <t xml:space="preserve">1) Akreditimi i 100% i programeve të studimit konform kërkesave ligjore. Përmrësimi i instrumentave të llogaridhënies publike të universiteteve dhe transparencës në linjë me rritjen e autonomisë. Përmirësimi në vijimësi i standardeve infrastrukturore 
2) Implementimi i kuadrit ligjor dhe institucional e reformës financiare  në IAL. Financimi i IAL-ve sipas renditjes së tyre. 
3) Rivlerësim i KSHK dhe i ligjit për KSHK dhe përgatitja e manualit përkatës përshkruesit e niveleve dhe për Komiettet Sektoriale. Përgatitja e kuadrit nënligjor për kodifikimin e programeve të studimit dhe përmbajtjes së tyre në nivel kombëtar duke parashikuar aty rezultatet e të nxënit, si dhe mbështetur dhe në KSHK dhe standardet evropiane, 
4) Rritja e kapaciteteve akademike dhe stafit të IAL  sipas standardeve të  ligjin e ri të arsimit të lartë në RSH; Rishikim i skemës së promovimit për tituj e grada konform praktikave perëndimore dhe duke i dhënë rëndësi vec të tjerave dhe pjesëmarrjes në projekte ndërkombëtare dhe të ardhurave të siguruara nga projektet për IAL-në. 
5) Rritja e standardeve dhe kapaciteteve për mësimdhënie dhe kerkim shkencor. Implementimin i DB kombëtar për regjistrin e studentëve, të dhënat e karrierës akademike, diplomimit, provimet e shtetit, të dhënat e stafit akademik, etj. Realizimi i ofrimit të një shërbimi cilësor, si dhe krijimi i DB kombëtar të titujve dhe gradave shkencore.
6) Implementimi i skemës së re të të pranimit në IAL përmes vendosjes së prioriteteve kombëtare për pranimin e studenteve.  Aksesi në arsimin e lartë, sipas meritës, pavarësisht nga mundësitë financiare të individëve. Mbështetje e mobilitetit të studentëve dhe pedagogëve dhe ndërkombëtarizimit të arsimit të lartë. 
7) Realizimi i politikave të përfshirjes sociale dhe aksesit të gjërë në AL nëpërmjet skemës së kredidhënies studentore dhe mbështetjes financiare me bursa për kategoritë në nevojë, si dhe heqjen e barrierave arkitektonike në IAL.
</t>
  </si>
  <si>
    <t xml:space="preserve">1) Akreditimi i 100% i programeve të studimit konform kërkesave ligjore. Përmrësimi i instrumentave të llogaridhënies publike të universiteteve dhe transparencës në linjë me rritjen e autonomisë. Përmirësimi në vijimësi i standardeve infrastrukturore 
2) Implementimi i kuadrit ligjor dhe institucional e reformës financiare  në IAL. Rivlerësim i KSHK dhe i ligjit për KSHK dhe përgatitja e manualit përkatës përshkruesit e niveleve dhe për Komiettet Sektoriale. Përgatitja e kuadrit nënligjor për kodifikimin e programeve të studimit dhe përmbajtjes së tyre në nivel kombëtar duke parashikuar aty rezultatet e të nxënit, si dhe mbështetur dhe në KSHK dhe standardet evropiane, 
3) Rritja e kapaciteteve akademike dhe stafit të IAL  sipas standardeve të  ligjin e ri të arsimit të lartë në RSH; Rishikim i skemës së promovimit për tituj e grada konform praktikave perëndimore dhe duke i dhënë rëndësi vec të tjerave dhe pjesëmarrjes në projekte ndërkombëtare dhe të ardhurave të siguruara nga projektet për IAL-në. 
4) Rritja e standardeve dhe kapaciteteve për mësimdhënie dhe kerkim shkencor. Implementimin i DB kombëtar për regjistrin e studentëve, të dhënat e karrierës akademike, diplomimit, provimet e shtetit, të dhënat e stafit akademik, etj. Realizimi i ofrimit të një shërbimi cilësor, si dhe krijimi i DB kombëtar të titujve dhe gradave shkencore.
5) Implementimi i skemës së re të të pranimit në IAL përmes vendosjes së prioriteteve kombëtare për pranimin e studenteve.  Aksesi në arsimin e lartë, sipas meritës, pavarësisht nga mundësitë financiare të individëve. Mbështetje e mobilitetit të studentëve dhe pedagogëve dhe ndërkombëtarizimit të arsimit të lartë. 
6) Realizimi i politikave të përfshirjes sociale dhe aksesit të gjërë në AL nëpërmjet skemës së kredidhënies studentore dhe mbështetjes financiare me bursa për kategoritë në nevojë, si dhe heqjen e barrierave arkitektonike në IAL.
</t>
  </si>
  <si>
    <t xml:space="preserve">1) Akreditimi i 100% i programeve të studimit konform kërkesave ligjore. Përmrësimi i instrumentave të llogaridhënies publike të universiteteve dhe transparencës në linjë me rritjen e autonomisë. Përmirësimi në vijimësi i standardeve infrastrukturore. 
2) Implementimi i kuadrit ligjor dhe institucional e reformës financiare  në IAL. Kryerja e renditjes së IAL-ve me qëllim financimin e tyre. 
3) Rivlerësim i KSHK dhe i ligjit për KSHK dhe përgatitja e manualit përkatës përshkrusit e niveleve dhe për Komiettet Sektoriale. Përgatitja e kuadrit nënligjor për kodifikimin e programeve të studimit dhe përmbajtjes së tyre në nivel kombëtar duke parashikuar aty rezultatet e të nxënit, si dhe mbështetur dhe në KSHK dhe standardet evropiane, 
4) Rritja e kapaciteteve akademike dhe stafit të IAL  sipas standardeve të  ligjin e ri të arsimit të lartë në RSH; Rishikim i skemës së promovimit për tituj e grada konform praktikave perëndimore dhe duke i dhënë rëndësi vec të tjerave dhe pjesëmarrjes në projekte ndërkombëtare dhe të ardhurave të siguruara nga projektet për IAL-në. 
5) Rritja e standardeve dhe kapaciteteve për mësimdhënie dhe kerkim shkencor. Implementimin i DB kombëtar për regjistrin e studentëve, të dhënat e karrierës akademike, diplomimit, provimet e shtetit, të dhënat e stafit akademik, etj. Realizimi i ofrimit të një shërbimi cilësor, si dhe krijimi i DB kombëtar të titujve dhe gradave shkencore.
6) Implementimi i skemës së re të të pranimit në IAL përmes vendosjes së prioriteteve kombëtare për pranimin e studenteve.  Aksesi në arsimin e lartë, sipas meritës, pavarësisht nga mundësitë financiare të individëve. Mbështetje e mobilitetit të studentëve dhe pedagogëve dhe ndërkombëtarizimit të arsimit të lartë. 
7) Realizimi i politikave të përfshirjes sociale dhe aksesit të gjërë në AL nëpërmjet skemës së kredidhënies studentore dhe mbështetjes financiare me bursa për kategoritë në nevojë, si dhe heqjen e barrierave arkitektonike në IAL.
</t>
  </si>
  <si>
    <t xml:space="preserve">1) Akreditimi institucional i 100% të IAL-ve nga një agjenci e huaj, anëtare e ENQA-s. Akreditimi i të gjithë programeve të studimit brenda afatit për akreditim. Reformim  i mekanizmave të kontrollit të cilësisë: rishikim i standardeve shtetërore të cilësisë konform atyre të HEAL, Ndërtimi i instrumentave të llogaridhënies publike të universiteteve dhe transparencës në linjë me rritjen e autonomisë. Përgatitja e kuadrit nënligjor dhe atij institucional të reformës finaciare dhe institucionale në AL bazuar në standardet dhe kriteret e EHEA. Përafrimi i kurrikulave të programve të studimit të mësuesisë dhe pilotimi i këtij procesi.
2) Sigurimi i cilësisë në AL në nivel institucional e të programeve të studimit sipas kritereve e standardeve ndërkombëtare të HEAL-it,  në përputhje me kërkesat e tregut lokal dhe kombëtar të punës. Akreditimi institucional në 100% të IAL-ve nga një agjenci e huaj. Implementimi i kuadrit ligjor dhe institucional e reformës financiare  në IAL. Fillimi i procesit të renditjes së IAL-ve më qëllim financimin e tyre. Rivlerësim i KSHK dhe i ligjit të ri për KSHK dhe përgatitja e manualit përkatës. Përgatitja e kuadrit nënligjor për kodifikimin e programeve të studimit dhe përmbajtjes së tyre në nivel kombëtar duke parashikuar aty rezultatet e të nxënit, si dhe mbështetur dhe në KSHK dhe standardet evropiane, 
3) Rritja e kapaciteteve akademiko-kërkimore dhe stafit të IAL-ve në përmbushje të standardeve akademike të parashikuara në  ligjin e ri të arsimit të lartë në RSH; Rishikim i skemës së promovimit për tituj e grada konform praktikave perëndimore dhe duke i dhënë rëndësi veç të tjerave dhe pjesëmarrjes në projekte ndërkombëtare dhe të ardhurave të siguruara nga projektet për IAL-në. 
4) Rritja e standardeve dhe kapaciteteve për mësimdhënie dhe kërkim shkencor. Implementimi i regjistrit elektronik kombëtar të diplomave universitare, si dhe i një DB kombëtar për regjistrin e studentëve, të dhënat e karrierës akademike, diplomimit, provimet e shtetit, të dhënat e stafit akademik, etj. Realizimi i aplikimit online për njohjen e diplomave dhe ofrimit të një shërbimi cilësor, si dhe krijimi i DB kombëtar të titujve dhe gradave shkencore. Ofrimi i gjuhëve të hauja falas për studentët.
5) Implementimi i skemës së re të të pranimit në IAL, dhe vendosja e prioriteteve kombëtare për pranimin e studenteve, përfshirë programet e studimit STEM dhe ato profesionale 2-vjeçare.  Aksesin në arsimin e lartë, sipas meritës, pavarësisht nga mundësitë financiare të individëve. Mbështetje e mobilitetit të studentëve dhe pedagogëve dhe ndërkombëtarizimit të arsimit të lartë. Plotësimi i kuadrit ligjor dhe institucional i reformës financiare  në IAL.
6 ) Realizimi i politikave të përfshirjes sociale dhe aksesit të gjërë në AL nëpërmjet skemës së kredidhënies studentore dhe mbështetjes financiare me bursa për kategoritë në nevojë, si dhe heqjen e barrierave arkitektonike në IAL. Krijimi i këshillave studentore dhe Këshillit Kombëtar Studentor.
</t>
  </si>
  <si>
    <t xml:space="preserve">Sigurimi i cilësisë në AL në nivel institucional e të programeve të studimit sipas kritereve e standardeve ndërkombëtare të HEAL-it,  në përputhje me kërkesat e tregut lokal dhe kombëtar të punës. Akreditimi institucional në 100% të IAL-ve nga një agjenci e huaj. Akreditimi, brenda afatit të akreditimit, në masën 100% të programeve të studimit. Të garantojë mundësi të barabarta, mbi bazën e meritës, për të gjithë individët që duan të ndjekin studimet në arsimin e lartë. Rritja e dimensionit social në AL. Të bazojë sistemin e arsimit të lartë mbi parimin e konkurrencës së lirë mes institucioneve të arsimit të lartë, personelit akademik dhe studentëve. Për të garantuar aksesin në arsimin e lartë, sipas meritës, pavarësisht nga mundësitë financiare të individëve. Rritja e transparencës dhe krijimi i mekanizmave të kontrollit dhe llogaridhënies në kuadrin e luftës ndaj korrupsionit. Ofrimi i kurrikulave universitare konform nevojave të tregut të punës. Krijimi i mekanizmave mbështetës dhe promovues të pjesmarrjes në projekte kërkimore ndërkombëtare përmes promovimit akademik. Sigurimi i kualifikimit të vazhdueshëm profesional bazuar në konceptin e të mësuarit gjatë gjithë jetës. Ndërkombëtarizimi i AL dhe rritja e mobilitetit dhe shkëmbimeve të ndryshme.
</t>
  </si>
  <si>
    <t xml:space="preserve">Reforma në arsimin e lartë bazohet në parimet e Deklaratës së Bolonjës për arritjen e standarteve europiane. Rritja e cilësisë në arsimin e lartë, si dhe ofrimi i programeve të studimit cilësorë kërkohet të arrihet në përputhje me nevojat lokale dhe kombëtare si dhe konform standardeve të HEAL dhe eksperiencave më të mira evropiane. Ndërkombëtarizimi i arsimit të lartë dhe rritja e kontributit të ekselencave shqiptare në tregun e punës. Ofrimi i arsimimit profesional pas të mesmes dhe më gjerë, sipas nevojave të zonave të vecanta në vend. Mbështetja dhe nxitja e ofrimit të programeve të studimit në përputhje me tregun e punës e tendencave të zhvillimeve rajonale, si dhe të orientuara drejt studentit. Rritja e lirisë akademike, autonomisë financiare dhe organizative, si dhe të vetëqeverisjes së IAL-ve. </t>
  </si>
  <si>
    <t>Pershkrimi i Politikes se Programit</t>
  </si>
  <si>
    <t>Programi i Arsimit të Lartë synon zhvillimin e Arsimit të Lartë në funksion të mbështetjes së prioriteteve strategjike, interesave të zhvillimit të vendit dhe integrimit  evropian, në përputhje me kërkesat e procesit të Bolonjës dhe të Hapsirës Evropiane të Arsimit të Lartë (HEAL). Sistemi i financimit të arsimit të lartë vijon të reformohet në funksion të sigurimit të cilësisë, dhe për t'iu përshtatur kërkesave reale të tregut të punës për specialistë të fushave të ndryshme. Financimi i IAL-ve të bëhet sipas renditjes së tyre. Ajo garanton burimet financiare që në nivel kombëtar shkojnë në mbështetje të arsimit të lartë, si dhe rritjen e autonomisë financiare, organizative, përzgjedhjes së personelit dhe qeverisëse  të IAL. Ofrimi i studimeve universitare në të tre ciklet e studimit synohet nëpërmjet sigurimit të standarteve duke integruar në mënyrë më efektive mësimdhënien me kërkimin shkencor.</t>
  </si>
  <si>
    <t>Arsimi i Lartë</t>
  </si>
  <si>
    <t>Arsimi i mesëm i lartë synon zhvillimin e mëtejshëm të kompetencave të fituara nga arsimi bazë, konsolidimin e individualitetit të çdo nxënësi dhe tërësinë e vlerave e të qëndrimeve, zgjerimin dhe thellimin në fusha të caktuara të dijes, përgatitjen për arsimin tretësor ose për tregun e punës. Hartimi dhe zbatimi i kurrikules së re në arsimin e mesëm. Mbështetja e zhvillimit profesional të mësuesve. Promovimi dhe zgjerimi i teknologjisë së informacionit dhe komunikimit në edukim. Zgjerimi i kapaciteteve infrastrukturore në institucionet shkollore të arsimit të mesëm.</t>
  </si>
  <si>
    <r>
      <t xml:space="preserve">Kujdes!! </t>
    </r>
    <r>
      <rPr>
        <i/>
        <sz val="9"/>
        <rFont val="Times New Roman"/>
        <family val="1"/>
      </rPr>
      <t>Në format mund të shtohen rreshta për të reflektuar të gjitha produktet e programit. Formati ka formula, të cilat duhen përditësuar sipas llogjikës së paraqitur më sipër.</t>
    </r>
  </si>
  <si>
    <t>Numri i Punonjësve me Kontratë të Programit Buxhetor (Numri i praktikanteve qe zhvillojne praktiken mesimore si mesues.</t>
  </si>
  <si>
    <r>
      <t xml:space="preserve">Detajimi i Kostos Totale të </t>
    </r>
    <r>
      <rPr>
        <b/>
        <sz val="9"/>
        <color indexed="10"/>
        <rFont val="Times New Roman"/>
        <family val="1"/>
      </rPr>
      <t>Produktit X</t>
    </r>
    <r>
      <rPr>
        <b/>
        <sz val="9"/>
        <color indexed="8"/>
        <rFont val="Times New Roman"/>
        <family val="1"/>
      </rPr>
      <t xml:space="preserve"> sipas Artikujve Ekonomikë</t>
    </r>
  </si>
  <si>
    <r>
      <t xml:space="preserve">Detajimi i Kostos Totale të </t>
    </r>
    <r>
      <rPr>
        <b/>
        <sz val="9"/>
        <color indexed="10"/>
        <rFont val="Times New Roman"/>
        <family val="1"/>
      </rPr>
      <t>Produktit 1</t>
    </r>
    <r>
      <rPr>
        <b/>
        <sz val="9"/>
        <color indexed="8"/>
        <rFont val="Times New Roman"/>
        <family val="1"/>
      </rPr>
      <t xml:space="preserve"> sipas Artikujve Ekonomikë</t>
    </r>
  </si>
  <si>
    <t>Numri i nxenësve</t>
  </si>
  <si>
    <t>Krijimi i biblotekave ne arsimin e mesem te pergjithshem,nepermjet blerjes se librave te miratuara nga MASH,  me qellim rrijten e cilesi se mesimdhenies dhe sigurimin e aksesit per te gjithe nxenesit ne shkollat e mesme ne qytet apo ne zonen rurale.</t>
  </si>
  <si>
    <t>Biblioteka te pasuruara me literature bashkekohore</t>
  </si>
  <si>
    <t>Numri i nxensve që përfitojnë fondit shtesë në bilioteka</t>
  </si>
  <si>
    <t xml:space="preserve"> Pasurimi i bibliotekave në të gjitha shkollat me 10% te fondit ekzistues te bibliotekave.(çdo vit)</t>
  </si>
  <si>
    <t>Numri i kabineteve klasave inteligjente</t>
  </si>
  <si>
    <t>Krijimi I kabineteve informatikes_ intelegjente</t>
  </si>
  <si>
    <t>Produktet për Objektivin 6</t>
  </si>
  <si>
    <t>Numri i Klasave të reja mësimore inteligjente/dixhitale</t>
  </si>
  <si>
    <t>Pajisja i 100 klasave/shkollave me klasa mësimore inteligjente/ digjitale (çdo vit)</t>
  </si>
  <si>
    <t>Numri i  laboratoreve te pajisur me pajisje laboratorike, kimie, fizike. biologjie per shkollat e mesme te pergjithshme</t>
  </si>
  <si>
    <t>Furnizimi me pajisje laboratorike, kimie, fizike. biologjie per shkollat e mesme te pergjithshme dhe te bashkuara ne funksion te rritjes se cilesise se sherbimit arsimor.</t>
  </si>
  <si>
    <t>Shkolla te pajisura me laboratore shkencore kimie, fizike. Biologjie</t>
  </si>
  <si>
    <t>Përqindja e laboratorëve të rinj</t>
  </si>
  <si>
    <t>Numri i laboratorëve të rinj</t>
  </si>
  <si>
    <t>Pajisja me laborator shkencor Fizikë-Kimi-Biologji  për 5-8 % në vit te shkollave të mesme.</t>
  </si>
  <si>
    <r>
      <t xml:space="preserve">Detajimi i Kostos Totale të </t>
    </r>
    <r>
      <rPr>
        <b/>
        <sz val="9"/>
        <color indexed="10"/>
        <rFont val="Times New Roman"/>
        <family val="1"/>
      </rPr>
      <t>Produktit 3</t>
    </r>
    <r>
      <rPr>
        <b/>
        <sz val="9"/>
        <color indexed="8"/>
        <rFont val="Times New Roman"/>
        <family val="1"/>
      </rPr>
      <t xml:space="preserve"> sipas Artikujve Ekonomikë</t>
    </r>
  </si>
  <si>
    <t>Numri i klasave te reabilitura</t>
  </si>
  <si>
    <t>Furnizimi me mobileri ( karrike, tavolina, rafte etj), per krijimin e kushteve optimale  per mesimdhenie e mesimnxenie, ne perundim te ndertimit  te objekteve te reja/rehabilituara.</t>
  </si>
  <si>
    <t>Institucione arsimore, klasa te pajisura me mobileri</t>
  </si>
  <si>
    <t>Produkti 3 i Objektivit 4</t>
  </si>
  <si>
    <r>
      <t xml:space="preserve">Detajimi i Kostos Totale të </t>
    </r>
    <r>
      <rPr>
        <b/>
        <sz val="9"/>
        <color indexed="10"/>
        <rFont val="Times New Roman"/>
        <family val="1"/>
      </rPr>
      <t>Produktit 2</t>
    </r>
    <r>
      <rPr>
        <b/>
        <sz val="9"/>
        <color indexed="8"/>
        <rFont val="Times New Roman"/>
        <family val="1"/>
      </rPr>
      <t xml:space="preserve"> sipas Artikujve Ekonomikë</t>
    </r>
  </si>
  <si>
    <t>Rehabilitimi dhe zgjerimi i  shkollave ne arsimin mesem, me synim plotesimin e standarteve Europiane, 30-32 nxenes per klase.</t>
  </si>
  <si>
    <t>Shkolla  te reabilituara/zgjeruara konform standardeve europiane</t>
  </si>
  <si>
    <t xml:space="preserve">  </t>
  </si>
  <si>
    <t>Numri i klasave te ndertuar</t>
  </si>
  <si>
    <t>Ndertimi i  shkollave te reja  te mesme te  pergjithshme ne synim te plotesimit te standarteve europine, 30 -32 nxenes per klase.</t>
  </si>
  <si>
    <t>Shkolla me klasa te reja te ndertuara sipas standardeve europiane</t>
  </si>
  <si>
    <t>Përqindja e klasave të rehabilituara</t>
  </si>
  <si>
    <t>Numri I klasave  gjithsej Arsimi mesem (gjimnaze + gjimnaze te orientuara)</t>
  </si>
  <si>
    <t>Numri total i klasave të rehabilituara.</t>
  </si>
  <si>
    <t>Rehabilitimi infrastrukturor i 10-12% të klasave në gjimnazeve, rindërtimi apo shtesa  me 5%-8% i klasave të reja në zonat urbane. (çdo vit)</t>
  </si>
  <si>
    <t xml:space="preserve">Numri nxenesve ne maturë </t>
  </si>
  <si>
    <t>Krijimi i kushteve per realizimin e matures shteterore për afro 38-40 mijë maturanë, hartimi i testeve per provimeve, procesi i dhënies së provimeve, vlerësimeve të provimeve, provimeve kombetare e teste nderkombetare.</t>
  </si>
  <si>
    <t>Krijimi i kushteve per realizimin e matures shteterore për afro 38-40 mijë maturantë, hartimi i testeve per provimeve, procesi i dhënies së provimeve, vlerësimeve të provimeve, provimeve kombetare e teste nderkombetare.</t>
  </si>
  <si>
    <t>Numri i nxenesve ne Maturen Shteterore</t>
  </si>
  <si>
    <t>Numri i mësueve që punësohen nga portali  "Mësues për Shqipërinë"</t>
  </si>
  <si>
    <t>Numri i mësueve që realzojnë  testimin "Mësues për Shqipërinë"</t>
  </si>
  <si>
    <t>Numri i vlerësuesve të trajnuar dhe certifikuar</t>
  </si>
  <si>
    <t>Realizimi i Maturës Shtetërore 2019,2020,2021. Sigurimi i testeve të një cilësie të lartë. Përzgjedhja, trajnimi dhe certifikimi i vlerësuesve të testeve. Vlerësimi i testeve të maturës saktë dhe duke respektuar të gjitha rregullat e parashikuara; Organizimin e testimit të informatizuar të kandidatëve, për t'u punësuar në institucionet arsimore publike të arsimit parauniversitar. Realizimi i testimit "Mësues për Shqipërinë", në 40 profile të kandidatëve për ushtrimin e profesionit të mësuesit, .</t>
  </si>
  <si>
    <t>Kosto totale e produktit 4</t>
  </si>
  <si>
    <r>
      <t xml:space="preserve">Detajimi i Kostos Totale të </t>
    </r>
    <r>
      <rPr>
        <b/>
        <sz val="9"/>
        <color indexed="10"/>
        <rFont val="Times New Roman"/>
        <family val="1"/>
      </rPr>
      <t>Produktit 4</t>
    </r>
    <r>
      <rPr>
        <b/>
        <sz val="9"/>
        <color indexed="8"/>
        <rFont val="Times New Roman"/>
        <family val="1"/>
      </rPr>
      <t xml:space="preserve"> sipas Artikujve Ekonomikë</t>
    </r>
  </si>
  <si>
    <t>Numri i punonjese perfitues</t>
  </si>
  <si>
    <t xml:space="preserve">Mbulimi  shpenzimeve te transportit per mesuesit dhe drejtuesit AMP, qe udhetojne cdo dite mbi 5 KM nga vendbanimi ne institucionin arsimor. </t>
  </si>
  <si>
    <t>Sigurimi i sherbimit te transportit te mesuesve te AMP</t>
  </si>
  <si>
    <t>Produkti 4 i Objektivit 2</t>
  </si>
  <si>
    <t>Numri i nxenesve qe perfitojne tekste falas</t>
  </si>
  <si>
    <t>Pajisja e 100 % të nxënësve me tekste mësimore në përputhje me kurikulat e reja dhe sipas standardeve europiane. Mbështetja e grupeve në nevojë duke rimbursuar 100% koston e teksteve shkollore nga buxheti i shtetit.</t>
  </si>
  <si>
    <t>Produkti 3 i Objektivit 2</t>
  </si>
  <si>
    <t>Numri i programeve -kurrikulave</t>
  </si>
  <si>
    <t>Zbatimi i kurrikules se re, dokumentacioni kurrikular ne gjimnaze dhe shkollat social-kulturore. Trajnimi  drejtuesve dhe mësuesve te gjimnazeve dhe shkollave sosc-kultutro per reformen dhe zbatimin e kurrikulave të reja</t>
  </si>
  <si>
    <t>Numri i mesuesve te trajnuar</t>
  </si>
  <si>
    <t>Trajnimi i  mesuesve te klasave 10,11,12 te arsimit te mesem qe do realizojne kurrikulen e kl.10_kl 11_kl 12 gjate vitit shkollor 2017-2021.</t>
  </si>
  <si>
    <t>Përqindja e mësuesve të trajnuar</t>
  </si>
  <si>
    <t>Numri i Drejtuesve dhe mësuesve të trajnuar</t>
  </si>
  <si>
    <t xml:space="preserve">Zbatimi dhe konsolidimi  i kurrikules se re te klases 10-11- 12, nëpërmjet trajnimi  të drejtuesve dhe mësuesve te gjimnazeve dhe shkollave soc-kulturo per reformen dhe zbatimin e kurrikulave të reja. Ngritja ekipeve me  drejtues dhe mesues qe do te zhvillojne dhe kryejne trajnimin e mesuesve dhe drejtuesve te istitucioneve arsimore. </t>
  </si>
  <si>
    <t>Kosto totale e produktit B</t>
  </si>
  <si>
    <r>
      <t xml:space="preserve">Detajimi i Kostos Totale të </t>
    </r>
    <r>
      <rPr>
        <b/>
        <sz val="9"/>
        <color indexed="10"/>
        <rFont val="Times New Roman"/>
        <family val="1"/>
      </rPr>
      <t>Produktit B</t>
    </r>
    <r>
      <rPr>
        <b/>
        <sz val="9"/>
        <color indexed="8"/>
        <rFont val="Times New Roman"/>
        <family val="1"/>
      </rPr>
      <t xml:space="preserve"> sipas Artikujve Ekonomikë</t>
    </r>
  </si>
  <si>
    <t>Numri i nxenësve në gjimnaze</t>
  </si>
  <si>
    <t xml:space="preserve">Rritja e tërheqjes së nxënësve që mbarojnë arsimin bazë në gjimnaze, gjimnaze të orientuara dhe arsim profesional </t>
  </si>
  <si>
    <t>Numri I  nxënësve që ndjekin arsimin profesional.</t>
  </si>
  <si>
    <t>Përqindja e nxënësve që ndjekin arsimin profesional kundrejt totalit ne AM.</t>
  </si>
  <si>
    <t>Numri I nxenesve të rregjistrar ne gjimnaze</t>
  </si>
  <si>
    <t>Përqindja e nxënësve që ndjekin AM Gjimnaze kundrejt totalit</t>
  </si>
  <si>
    <t>Numri I nxënësve të rregjistruar ne arsimin e mesëm</t>
  </si>
  <si>
    <t>Përqindja e nxënësve që përfundojnë arsimin bazë të cilët regjistrohen në arsimin e mesëm</t>
  </si>
  <si>
    <t>Nxënës që regjistrohet dhe ndjekin arsimin e mesëm të lartë të arrijë në 96-98% e nxënësve që përfundojnë arsimin bazë,</t>
  </si>
  <si>
    <t>Mësues në arsimin e mesëm (gjimnaze + gjimnaze të orientuara)</t>
  </si>
  <si>
    <t>Tërheqja në përqindje kundrejt arsimit të mesëm të ulët</t>
  </si>
  <si>
    <t>Nxënës në arsimin e mesëm</t>
  </si>
  <si>
    <t>Arsimi i Mesëm I Përgjithshëm "Gjimnazet".</t>
  </si>
  <si>
    <r>
      <t xml:space="preserve">Kujdes!! </t>
    </r>
    <r>
      <rPr>
        <i/>
        <sz val="10"/>
        <rFont val="Times New Roman"/>
        <family val="1"/>
      </rPr>
      <t>Në format mund të shtohen rreshta për të reflektuar të gjitha produktet e programit. Formati ka formula, të cilat duhen përditësuar sipas llogjikës së paraqitur më sipër.</t>
    </r>
  </si>
  <si>
    <t xml:space="preserve">Numri i Punonjësve Organik të Programit Buxhetor </t>
  </si>
  <si>
    <r>
      <t xml:space="preserve">Detajimi i Kostos Totale të </t>
    </r>
    <r>
      <rPr>
        <b/>
        <sz val="10"/>
        <color indexed="10"/>
        <rFont val="Times New Roman"/>
        <family val="1"/>
      </rPr>
      <t>Produktit 1</t>
    </r>
    <r>
      <rPr>
        <b/>
        <sz val="10"/>
        <color indexed="8"/>
        <rFont val="Times New Roman"/>
        <family val="1"/>
      </rPr>
      <t xml:space="preserve"> sipas Artikujve Ekonomikë</t>
    </r>
  </si>
  <si>
    <t xml:space="preserve">Numri studenteve </t>
  </si>
  <si>
    <t>Numri total i studentëve që ndjekin ciklin e parë të studimeve që përfitojnë bursë financiare dhe akomodim ne  IAL publike.</t>
  </si>
  <si>
    <t>Implementimi i skemës së re të të pranimit në IAL përmes vendosjes së prioriteteve kombëtare për pranimin e studenteve.  Aksesi në arsimin e lartë, sipas meritës, pavarësisht nga mundësitë financiare të individëve. Mbështetje e mobilitetit të studentëve dhe pedagogëve dhe ndërkombëtarizimit të arsimit të lartë.  Realizimi i politikave të përfshirjes sociale dhe aksesit të gjërë në AL nëpërmjet skemës së kredidhënies studentore dhe mbështetjes financiare me bursa për kategoritë në nevojë, si dhe heqjen e barrierave arkitektonike në IAL.</t>
  </si>
  <si>
    <t>Numri i projekteve</t>
  </si>
  <si>
    <t xml:space="preserve">Granti i politikave të zhvillimit për institucionet publike të arsimit të lartë përfshin;
a) fondin për mbështetjen e institucionit dhe infrastrukturës akademike;
b) fondin e projekteve konkurruese për zhvillimin e institucioneve të arsimit të lartë.
Fondi për mbështetjen e institucionit dhe infrastrukturës akademike shpërndahet mbi bazën e renditjes së institucioneve publike të arsimit të lartë, të kryer nga Agjencia Kombëtare e Kërkimit Shkencor dhe Inovacionit (AKKSHI). Treguesit kryesorë që do të përcaktojnë renditjen e universiteteve publike.
Fondi i projekteve konkurruese për zhvillimin e institucioneve të arsimit të lartë shpërndahet mbi bazën e projekteve që IAL paraqesin, sipas kritereve të përcaktuara në strategjitë sektoriale dhe në ligjin vjetor të buxhetit. Ministria përgjegjëse për arsimin miraton me udhëzim prioritetet, termat e shpërndarjes, formën e aplikimit për grantin. Ministria përgjegjëse për arsimin, miraton grantin e politikave të zhvillimit të institucioneve publike të arsimit të lartë, mbi bazën e aplikimit apo të prioriteteve strategjike të zhvillimit të vendit.
</t>
  </si>
  <si>
    <t xml:space="preserve">Rritja e kapaciteteve akademiko-kërkimore dhe stafit të IAL-ve në përmbushje të standardeve akademike të mbështetura me fonde grant. 
Fondi për mbështetjen e institucionit dhe infrastrukturës akademike shpërndahet mbi bazën e renditjes së institucioneve publike të arsimit të lartë, të kryer nga Agjencia Kombëtare e Kërkimit Shkencor dhe Inovacionit (AKKSHI). Treguesit kryesorë që do të përcaktojnë renditjen e universiteteve publike.
Fondi i projekteve konkurruese për zhvillimin e institucioneve të arsimit të lartë shpërndahet mbi bazën e projekteve që IAL paraqesin, sipas kritereve të përcaktuara në strategjitë sektoriale dhe në ligjin vjetor të buxhetit. Ministria përgjegjëse për arsimin miraton me udhëzim prioritetet, termat e shpërndarjes, formën e aplikimit për grantin. Ministria përgjegjëse për arsimin, miraton grantin e politikave të zhvillimit të institucioneve publike të arsimit të lartë, mbi bazën e aplikimit apo të prioriteteve strategjike të zhvillimit të vendit.
</t>
  </si>
  <si>
    <t xml:space="preserve">Shpenzimet Kapitale </t>
  </si>
  <si>
    <t>Fonde grant per politike  zhvillimi ne IAL publike ne 000/ lekë</t>
  </si>
  <si>
    <t>Numri i projekteve të mbështetura me fonde grant</t>
  </si>
  <si>
    <t>Numri I studenteve në ciklin e parë të studimeve në IAL publike</t>
  </si>
  <si>
    <t xml:space="preserve">Rritja e kapaciteteve akademiko-kërkimore dhe stafit të IAL-ve në përmbushje të standardeve akademike. Mbështetje finaciare me fonde grand për zhvillimit për institucionet publike të arsimit të lartë të parashikuara në  ligjin e ri të arsimit të lartë në RSH. 
</t>
  </si>
  <si>
    <t xml:space="preserve">Sasia </t>
  </si>
  <si>
    <t>Numri i programeve të akreditura</t>
  </si>
  <si>
    <t xml:space="preserve">Akreditimi institucional i 100% të IAL-ve nga një agjenci e huaj, anëtare e ENQA-s. Akreditimi i të gjithë programeve të studimit brenda afatit për akreditim. Reformim  i mekanizmave të kontrollit të cilësisë: rishikim i standardeve shtetërore të cilësisë konform atyre të HEAL, Ndërtimi i instrumentave të llogaridhënies publike të universiteteve dhe transparencës në linjë me rritjen e autonomisë. </t>
  </si>
  <si>
    <t xml:space="preserve">Numri I programeve te studimit ne tre ciklet e studimit ne IAL publike dhe private </t>
  </si>
  <si>
    <t xml:space="preserve">Numri I programeve te akredituara ne tre ciklet e studimit ne IAL publike dhe private </t>
  </si>
  <si>
    <t xml:space="preserve">Numri I Institucioneve te IAL publike dhe private aktive  </t>
  </si>
  <si>
    <t>Numri I Institucioneve te IAL publike dhe private te akredituara</t>
  </si>
  <si>
    <t>Akreditimi i 100% i programeve të studimit konform kërkesave ligjore. Përmrësimi i instrumentave të llogaridhënies publike të universiteteve dhe transparencës në linjë me rritjen e autonomisë.  Reformim  i mekanizmave të kontrollit të cilësisë: rishikim i standardeve shtetërore të cilësisë konform atyre të HEAL. Ndërtimi i instrumentave të llogaridhënies publike të universiteteve dhe transparencës në linjë me rritjen e autonomisë.</t>
  </si>
  <si>
    <r>
      <t xml:space="preserve">Detajimi i Kostos Totale të </t>
    </r>
    <r>
      <rPr>
        <b/>
        <sz val="10"/>
        <color indexed="10"/>
        <rFont val="Times New Roman"/>
        <family val="1"/>
      </rPr>
      <t>Produktit B</t>
    </r>
    <r>
      <rPr>
        <b/>
        <sz val="10"/>
        <color indexed="8"/>
        <rFont val="Times New Roman"/>
        <family val="1"/>
      </rPr>
      <t xml:space="preserve"> sipas Artikujve Ekonomikë</t>
    </r>
  </si>
  <si>
    <t>Numri i studentëve përfituesve</t>
  </si>
  <si>
    <t>Sigurimi i cilësisë në AL në nivel institucional e të programeve të studimit sipas kritereve e standardeve ndërkombëtare të HEAL-it,  në përputhje me kërkesat e tregut lokal dhe kombëtar të punës. Rritja e kapaciteteve akademiko-kërkimore dhe stafit të IAL-ve në përmbushje të standardeve akademike të parashikuara në  ligjin e ri të arsimit të lartë në RSH;</t>
  </si>
  <si>
    <t xml:space="preserve">Totali I fondeve Grant per IAL Publike +Te ardhurat dytesore </t>
  </si>
  <si>
    <t xml:space="preserve">Fondet Grant ne Programit  09450 ne 000 leke </t>
  </si>
  <si>
    <t>Numri total i trupës akademike, pedagogë të brendshëm dhe pedagogë të jashtëm në IAL publike.</t>
  </si>
  <si>
    <t>Numri I trupës akademike, pedagogë të brendshëm në IAL publike.</t>
  </si>
  <si>
    <t>Fonde per student 000 leke ne tre ciklet (Fonde grant +Te ardhurat)</t>
  </si>
  <si>
    <t>Numri Total I studenteve në tre ciklet të studimeve në IAL publike</t>
  </si>
  <si>
    <t>Numri I studenteve në ciklin e dytë e të tretë të studimeve në IAL publike</t>
  </si>
  <si>
    <t xml:space="preserve">Fonde grant për student ne ciklin e pare nga buxheti I shteti ne 000 leke </t>
  </si>
  <si>
    <t>Sigurimi i cilësisë në AL në nivel institucional e të programeve të studimit sipas kritereve e standardeve ndërkombëtare të HEAL-it,  në përputhje me kërkesat e tregut lokal dhe kombëtar të punës. Rritja e kapaciteteve akademiko-kërkimore dhe stafit të IAL-ve në përmbushje të standardeve akademike të parashikuara në  ligjin e ri të arsimit të lartë në RSH.</t>
  </si>
  <si>
    <t>Total , Fondeve Grant per IAL publike+te ardhurat +Fondet per kerkim shkencor  ne 000 lekë.</t>
  </si>
  <si>
    <t xml:space="preserve">%  Fonde Grant per IAL publike+te ardhurat +Fondet per kerkim shkencor  ne 000 lekë. ndaj totalit buxh MASR </t>
  </si>
  <si>
    <t xml:space="preserve">% e fondeve te IAL Publike +Te ardhurat dytesore ndaj totalit buxh MASR </t>
  </si>
  <si>
    <t xml:space="preserve">% e fondeve grant te IAL Publike  ndaj totalit buxh MASR </t>
  </si>
  <si>
    <t xml:space="preserve">Fonde Grant te IAL Publike ndaj totalit buxh MASR </t>
  </si>
  <si>
    <t xml:space="preserve">Fonde për Arsimin e Larte </t>
  </si>
  <si>
    <t>1.  Numrit të kërkuesve në deri në vitin 2021 të arrijë treguesit mesatare për kërkues në OECD;
2.  Të arrihet standardi 7 kërkues për cdo 1,000 të punësuar në vitin 2021; 
3.  40% e personelit në kërkim dhe zhvillim të jenë nga IAL;
4.  (30% e kërkuesve shkencore të jenë  femra me synim që pas vitit 2021) - Rritja me 30 % e financimit të projekteve kombëtare të kërkim zhvillimit që drejtohen nga kërkuese femra dhe Doktoratave të fushave prioritare të kërkimit, me synim që pas vitit 2021të sigurohet barazi gjinore në  projektet fitues ;
5.  Të rritet me 10%-15%  në vit numri i aplikimeve nga programet bilaterale dhe Programin Horizon 2020; 
6.  Financim për  punen kerkimore shkencore per 3,500- 4,000 kërkuesve në vit  në IAL publike në periudhen  2018-2021;
7.  Synohet që fondet per kërkim ekselencë dhe inovacion në vitin 2021  të arrijnë  1% të PBB-së.;</t>
  </si>
  <si>
    <t xml:space="preserve"> 1). Rritja dhe zgjerimi i kërkimit shkencor në Shqipëri bazuar në treguesit e OECD; ku pjesa e shpenzimeve publike në vitin 2021 të arrijë 1 % të GDP (e përllogaritur për IAL publike e private, ministritë e linjës, institucione të tjera kerkimore shteterore, Akademia e Shkencave si  dhe nga bizneset ).  
2). Nxitja e punës kërkimore në IAL publike nëpërmjet financimit të drejtpërdrejte të 4,000 kërkuesve, ku prioritet kane femrat në përputhje me parimet e barazise gjinore , si dhe mbështetje financiare për kërkim fondamental në IAL publike me fonde nga buxheti  i shtetit.
 3). Zgjerimi i bashkëpunimit  të Universiteteve me biznesin privat në Programet Kombëtare të Kërkimit dhe Zhvillimit nëpërmjet organizimit të seminareve dhe takimeve informuese në IAL mbi Programet Kombëtare dhe Ndërkombëtare, rritja me 10-15% më shumë ndaj viti paraardhës  
4). Rritja e aplikimeve me 20% me shume në programin Horizon 2020, program  për Kërkimin dhe Inovacionin (2014 - 2020). "Horizon 2020"  do të bashkojë kërkimin me inovacionin dhe do të ketë një akses më të thjeshtë se programet paraardhëse për kompanitë dhe universitetet.  "Horizon 2020" do të ketë tri shtylla kryesore: i) Shkencë -Ekselence, ii) Lidership industrial, iii) Sfidat shoqërore. 
 5). Promovim i  Fondin e Ekselencës, rritjen efektivitetit të financimit, rikthimin e shpejtë të përfitimit të Shqipërisë, mbështetja financiare për 100 studentet në 15 universitetet me të mira të botës (Lista  Shangai, ose FT) dhe doktorantë ekselentë, si dhe ekselentë apo të punësuar  në kuadër të programit  "Brain Gain", prioritet rritjen me 10-20% të mbeshtetjes financiare për kërkueset vajzat studjueset femra, në përputhje me parimet e barazise gjinore.</t>
  </si>
  <si>
    <t xml:space="preserve"> 1). Rritja dhe zgjerimi i kërkimit shkencor në Shqipëri bazuar në treguesit e OECD; ku pjesa e shpenzimeve publike në vitin 2019 të arrijë 0,08 % të GDP (e përllogaritur për IAL publike e private, ministritë e linjës, institucione të tjera kerkimore shteterore, Akademia e Shkencave si  dhe nga bizneset ).
 2). Nxitja e punës kërkimore në IAL publike nëpërmjet financimit të drejtpërdrejte të 3,700 kërkuesve, ku prioritet kane femrat , si dhe mbështetje financiare për kërkim fondamental në IAL publike me fonde nga buxheti  i shtetit.
 3). Zgjerimi i bashkëpunimit  të Universiteteve me biznesin privat në Programet Kombëtare të Kërkimit dhe Zhvillimit nëpërmjet organizimit të seminareve dhe takimeve informuese në IAL mbi Programet Kombëtare dhe Ndërkombëtare, rritja me 10-15% më shumë ndaj viti paraardhës 
 4). Rritja e aplikimeve me 18-20% me shume në programin Horizon 2020, program  për Kërkimin dhe Inovacionin (2014 - 2020). "Horizon 2020"  do të bashkojë kërkimin me inovacionin dhe do të ketë një akses më të thjeshtë se programet paraardhëse për kompanitë dhe universitetet.  "Horizon 2020" do të ketë tri shtylla kryesore: i) Shkencë -Ekselence, ii) Lidership industrial, iii) Sfidat shoqërore. 
 5). Promovim i  Fondin e Ekselencës, rritjen efektivitetit të financimit, rikthimin e shpejtë të përfitimit të Shqipërisë, mbështetja financiare për 70-100 studentet në 15 universitetet me të mira të botës (Lista  Shangai, ose FT) dhe doktorantë ekselentë, si dhe ekselentë apo të punësuar  në kuadër të programit  "Brain Gain", prioritet rritjen me 10-20% të mbeshtetjes financiare për kërkueset vajzat studjueset femra,  në përputhje me parimet e barazise gjinore.</t>
  </si>
  <si>
    <t xml:space="preserve"> 1). Rritja dhe zgjerimi i kërkimit shkencor në Shqipëri bazuar në treguesit e OECD; ku pjesa e shpenzimeve publike në vitin 2018 të arrijë 0,06 % të GDP (e përllogaritur për IAL publike e private, ministritë e linjës, institucione të tjera kerkimore shteterore, Akademia e Shkencave si  dhe nga bizneset ).  
2). Nxitja e punës kërkimore në IAL publike nëpërmjet financimit të drejtpërdrejte të 3,500 kërkuesve, ku prioritet kane femrat në përputhje me parimet e barazise gjinore , si dhe mbështetje financiare për kërkim fondamental në IAL publike me fonde nga buxheti  i shtetit.
 3). Zgjerimi i bashkëpunimit  të Universiteteve me biznesin privat në Programet Kombëtare të Kërkimit dhe Zhvillimit nëpërmjet organizimit të seminareve dhe takimeve informuese në IAL mbi Programet Kombëtare dhe Ndërkombëtare, rritja me 10-15% më shumë ndaj viti paraardhës  
4). Rritja e aplikimeve me 15-20% me shume në programin Horizon 2020, program  për Kërkimin dhe Inovacionin (2014 - 2020). "Horizon 2020"  do të bashkojë kërkimin me inovacionin dhe do të ketë një akses më të thjeshtë se programet paraardhëse për kompanitë dhe universitetet.  "Horizon 2020" do të ketë tri shtylla kryesore: i) Shkencë -Ekselence, ii) Lidership industrial, iii) Sfidat shoqërore  
5). Promovim i  Fondin e Ekselencës, rritjen efektivitetit të financimit, rikthimin e shpejtë të përfitimit të Shqipërisë, mbështetja financiare për 70 studentet në 15 universitetet me të mira të botës (Lista  Shangai, ose FT) dhe doktorantë ekselentë, si dhe ekselentë apo të punësuar  në kuadër të programit  "Brain Gain", prioritet rritjen me 10-20% të mbeshtetjes financiare për kërkueset vajzat studjueset femra, në përputhje me parimet e barazise gjinore.</t>
  </si>
  <si>
    <r>
      <t xml:space="preserve"> 1). Rritja dhe zgjerimi i kërkimit shkencor në Shqipëri bazuar në treguesit e OECD; ku pjesa e shpenzimeve publike në vitin 2017 të arrijë 0,04 % të GDP (e përllogaritur për IAL publike e private, ministritë e linjës, institucione të tjera kerkimore shteterore, Akademia e Shkencave si  dhe nga bizneset ).  
2). Nxitja e punës kërkimore në IAL publike nëpërmjet financimit të drejtpërdrejte të 3200-3500 kërkuesve,</t>
    </r>
    <r>
      <rPr>
        <b/>
        <sz val="10"/>
        <rFont val="Times New Roman"/>
        <family val="1"/>
      </rPr>
      <t xml:space="preserve"> ku prioritet kanë kërkueset femrat, si dhe mbështetje financiare për kërkim fondamental në IAL publike</t>
    </r>
    <r>
      <rPr>
        <sz val="10"/>
        <rFont val="Times New Roman"/>
        <family val="1"/>
      </rPr>
      <t xml:space="preserve"> me fonde nga buxheti  i shtetit.
3). Zgjerimi i bashkëpunimit  të Universiteteve me biznesin privat në Programet Kombëtare të Kërkimit dhe Zhvillimit nëpërmjet organizimit të seminareve dhe takimeve informuese në IAL mbi Programet Kombëtare dhe Ndërkombëtare 
 4). Pjesëmarrja në programin Horizon 2020, program  për Kërkimin dhe Inovacionin (2014 - 2020). "Horizon 2020"  do të bashkojë kërkimin me inovacionin dhe do të ketë një akses më të thjeshtë se programet paraardhëse për kompanitë dhe universitetet.  "Horizon 2020" do të ketë tri shtylla kryesore: i) Shkencë -Ekselence, ii) Lidership industrial, iii) Sfidat shoqërore.  
5).  Promovim i  Fondin e Ekselencës, rritjen efektivitetit të financimit, rikthimin e shpejtë të përfitimit të Shqipërisë, mbështetja financiare për 50 studentet në 15 universitetet me të mira të botës (Lista  FT) dhe doktorantë ekselentë, si dhe ekselentë apo të punësuar në kuadër të programit  "Brain Gain", prioritet rritjen me 10-20% të mbeshtetjes financiare për kërkueset vajzat studjueset femra, </t>
    </r>
    <r>
      <rPr>
        <b/>
        <sz val="10"/>
        <rFont val="Times New Roman"/>
        <family val="1"/>
      </rPr>
      <t>në përputhje me parimet e barazise gjinore</t>
    </r>
    <r>
      <rPr>
        <sz val="10"/>
        <rFont val="Times New Roman"/>
        <family val="1"/>
      </rPr>
      <t>.</t>
    </r>
  </si>
  <si>
    <t>Synimi kryesor politik i programit është që sistemi i kërkimit shkencor t'i përgjigjet me besim të lartë sfidave të së ardhmes si çështjeve të mjedisit, mungesës së burimeve, cështjeve të shëndetit publik, të kohesionit social si dhe drejt zhvillimeve globale dhe integrimit të Shqipërisë në Bashkimin Evropian. Rritja e investimeve për SHTI bazuar në fondet publike dhe burime të tjera alternative deri në 1% të GDP. Programi synon zgjerimin dhe rritjen e cilësisë së kërkimit shkencor në Shqipëri, për të arritur në raportin 7 kërkues për cdo 1000 të punësuar në vitin 2020. Integrimi i kërkimin shkencor shqiptar në Hapësirën Evropiane të Kërkimit (ERA) numri i aplikimeve nga programet bilaterale dhe Programin Horizon 2020  të rritet me 10% në vit, dhe orientuar kërkimin shkencor kah nevojave të tregut nëpërmjet forcimit të lidhjeve të Programeve Kombëtarë dhe Ndërkombëtarë me biznesin privat.</t>
  </si>
  <si>
    <t>Programi KSH synon të rrisë kapacitetet e kompetencat për menaxhimin e kërkimit fondamental dhe të aplikuar, mbështetur studiuesit shqiptarë në punën  kërkimore shkencore; të rrisë efektivitetin e bashkëpunimit midis kombetar e nderkombetar; të përmirësojë infrastrukturën e KSH në universitete dhe qendrat kërkimore shkencore;të mbështesë grupimet e kërkuesve shkencorë, me synim institucionalizimin e ndikimit të tyre në politikat e shtetit për shkencën; të integrojë Shqipërinë në Hapësirën Europiane të Kërkimit Shkencor dhe të  rrisë volumin e bashkëpunimit shkencor e teknologjik ndërkombëtar; të nxisë bashkëpunimin mes komunitetit të kërkimit shkencor e biznesit në vend për të ofruar produkte e zgjidhje innovative  që kanë dobi publike e kanë vlerë të shtuar në treg,  ; të nxisë pjesëmarrjen e biznesit në investime për kërkim e zhvillim; të realizojë vlerësimin e vazhdueshëm të cilësisë së kërkimit shkencor bazuar mbi treguesit ndërkombëtarë cilësor dhe sasior</t>
  </si>
  <si>
    <t>Fonde për Shkencen</t>
  </si>
  <si>
    <t xml:space="preserve">Ministria e Arsimit  Sportit dhe Rinise </t>
  </si>
  <si>
    <t xml:space="preserve">Numri I projekteve fitues </t>
  </si>
  <si>
    <t>Financimi i Programe Kombetare/Nderkombetare te Bashkepunimit Shkencor e Teknologjik te mbeshtetura financiarisht.</t>
  </si>
  <si>
    <t>Nxitja e punës kërkimore në IAL publike nëpërmjet financimit të drejtpërdrejte të 3,500 kërkuesve, ku prioritet kane femrat në përputhje me parimet e barazise gjinore , si dhe mbështetje financiare për kërkim fondamental në IAL publike me fonde nga buxheti  i shtetit.</t>
  </si>
  <si>
    <t>Kategoria 1: Shpenzimet  Kapitale_Për financim të Projekteve Kerkimore Shkencore</t>
  </si>
  <si>
    <t>Numri i studentëve</t>
  </si>
  <si>
    <t>Mbështetja financiare për 50 studentet në 15 universitetet me të mira të botës (Lista  FT) dhe doktorantë ekselentë, prioritet rritjen me 10-20% të mbeshtetjes financiare për kërkueset vajzat studjueset femra.</t>
  </si>
  <si>
    <t>Promovim i  Fondin e Ekselencës, rritjen efektivitetit të financimit, rikthimin e shpejtë të përfitimit të Shqipërisë,</t>
  </si>
  <si>
    <t>Rritja(në %) e studenteve femra të mbështetura me fond ekselence</t>
  </si>
  <si>
    <t>Numri i studenteve femra të mbështetura me fond ekselence</t>
  </si>
  <si>
    <t>Numri i studentëve të mbështetur me fond ekselence</t>
  </si>
  <si>
    <t>Promovim i  Fondin e Ekselencës, rritjen efektivitetit të financimit, rikthimin e shpejtë të përfitimit të Shqipërisë, mbështetja financiare për 50 studentet në 15 universitetet me të mira të botës (Lista FT) dhe doktorantë ekselentë, si dhe ekselentë apo të punësuar në kuadër të programit  "Brain Gain", prioritet rritjen me 10-20% të mbeshtetjes financiare për kërkueset vajzat studjueset femra, në përputhje me parimet e barazise gjinore.</t>
  </si>
  <si>
    <t>Numri projekteve të rëndësishme</t>
  </si>
  <si>
    <t>"Horizon 2020" do të ketë tri shtylla kryesore: i) Shkencë -Ekselence, ii) Lidership industrial, iii) Sfidat shoqërore.</t>
  </si>
  <si>
    <t>Pjesëmarrja në programin Horizon 2020, program  për Kërkimin dhe Inovacionin (2014 - 2020)</t>
  </si>
  <si>
    <t>Raporti aplikime fituese/total</t>
  </si>
  <si>
    <t xml:space="preserve">Numri total i aplikimeve të pranuara/fituese </t>
  </si>
  <si>
    <t>Numri total i aplikimeve për projekteve në kuadër të Horizon 2020</t>
  </si>
  <si>
    <t xml:space="preserve"> Pjesëmarrja në programin Horizon 2020, program  për Kërkimin dhe Inovacionin (2014 - 2020). "Horizon 2020"  do të bashkojë kërkimin me inovacionin dhe do të ketë një akses më të thjeshtë se programet paraardhëse për kompanitë dhe universitetet.  "Horizon 2020" do të ketë tri shtylla kryesore: i) Shkencë -Ekselence, ii) Lidership industrial, iii) Sfidat shoqërore.</t>
  </si>
  <si>
    <t>Numri i takimeve informuese</t>
  </si>
  <si>
    <t>Konferenca dhe Seminareve dhe takimeve informuese në IAL mbi Programet Kombëtare dhe Ndërkombëtare</t>
  </si>
  <si>
    <t>Produkti 2 i Objektivit 3</t>
  </si>
  <si>
    <t xml:space="preserve">Granti i punës kërkimore-shkencore dhe veprimtarive krijuese, përfshin fondet për kërkimin shkencor. Ky grant është i hapur, për konkurimim/aplikim për të gjitha institucionet e arsimit të lartë të akredituara që zhvillojnë kërkim shkencor. </t>
  </si>
  <si>
    <t>Zgjerimi i bashkëpunimit  të Universiteteve me biznesin privat në Programet Kombëtare të Kërkimit dhe Zhvillimit nëpërmjet organizimit të seminareve dhe takimeve informuese në IAL mbi Programet Kombëtare dhe Ndërkombëtare</t>
  </si>
  <si>
    <t>Seminare/takime informuese të organizuara</t>
  </si>
  <si>
    <t xml:space="preserve">Zgjerimi i bashkëpunimit  të Universiteteve me biznesin privat në Programet Kombëtare të Kërkimit dhe Zhvillimit nëpërmjet organizimit të seminareve dhe takimeve informuese në IAL mbi Programet Kombëtare dhe Ndërkombëtare </t>
  </si>
  <si>
    <t>Numri i Projekteve te financuara</t>
  </si>
  <si>
    <t>Numri i kerkuesve qe kane perfituar financim</t>
  </si>
  <si>
    <t>Nxitja e punës kërkimore në IAL publike nëpërmjet financimit të drejtpërdrejte të 3200-3800 kërkuesve, ku prioritet kanë kërkueset femrat, si dhe mbështetje financiare për kërkim fondamental në IAL publike me fonde nga buxheti  i shtetit.</t>
  </si>
  <si>
    <t>Numri i projekteve/ Kerkuesve përfituesve</t>
  </si>
  <si>
    <t>Nxitja e punës kërkimore në IAL publike e private e institutet shkencore. Mbështetje financiare për Programet Kombëtare  të  Kërkim- Zhvillimit  në  IAL  dhe institutet shkencore</t>
  </si>
  <si>
    <t xml:space="preserve">Fondet e Programit  09770 ne 000 leke </t>
  </si>
  <si>
    <t xml:space="preserve">% e fondeve te KSHE  ndaj totalit buxh MASR </t>
  </si>
  <si>
    <t xml:space="preserve"> Rritja dhe zgjerimi i kërkimit shkencor në Shqipëri bazuar në treguesit e OECD.</t>
  </si>
  <si>
    <t xml:space="preserve">%  ndaj totalit buxh MASR </t>
  </si>
  <si>
    <t>Total , Fonde per IAL publike+te ardhurat +Fondet per kerkim shkencor  ne 000 lekë.</t>
  </si>
  <si>
    <t>Fonde për Shkencën</t>
  </si>
  <si>
    <t xml:space="preserve">A) trajnime cdo vit per 20-25% e stafet teknike të sistemit sportiv kombëtar (732 teknike-trainerë,specialistë, instruktorë, mjekë etj, në përputhje me parimet e barazise gjinore.). 
B) mbështetje financiare për 20-25 sportistë elitarë në vit, 
C) përmirësimin e infrastrukturës së objekteve sportive të futbollit, baskëtboll, volejboll, peshëngritje, mundje, arte marciale etj; 
D) rritje e numrit të sportistëve të licensuar në federata shqiptare të sportit, ( 29161 sportistë ) 
E) numri i pjesëmarrjeve në aktivitetet kombëtare:( 328 aktivitete kombetare )
F) numri i pjesëmarrjeve në aktivitetet ndërkombëtare: ( 258 aktivitete nderkombetare )
G) numri i medaljeve  në aktivitetet ndërkombëtare:
H) numri i te rinjve perfitues nga programet e trajnimit;
I) numri i te rinjeve te punesuar pas trajnimit;
J) numri i aktiviteteve te zhvilluara me perfitues te rinjte;
</t>
  </si>
  <si>
    <r>
      <t xml:space="preserve">1. Mbeshtetja financiare e Federatave  Olimpike dhe jo olimpike ne aktivitete nderkombetare, ne sportet elitare si dhe analiza antidoping perpara cdo aktivitetit.
2. Rritja e mbështetjes financiare  për aktiviteteve kombëtare dhe ndërkombëtare për Federatat Sportive për të gjitha disilpinat sportive, sipas kalendarëve të aktiviteteve në 42 Kampionate Kombëtare dhe 42 Kupa Shqiperisë,  42 Kampionate Europiane , si dhe 42 Kampionate Botërore, në përputhje me parimet e barazise gjinore.  
3. Mbështetje financiare të sportisteve elitarë, shpërblimi i tyrene baze te  rezultate në aktivitetet ndërkombëtare. ( medalje e fituara, mbështetje financiare për 20-25 sportistë elitarë në vit.
4. Mbështetja finaciare me investime për ristrukturimin/ ndërtimin dhe pajisjen e objekteve sportive në funksion të përmirësimit të kushteve, për nxitjen  rritjen  e nummirt të ushturesve në sport.  
5. Mbështetja e programeve trainuese në sisitemin sportiv kombëtar në funksion të rrijes së kapaciteteve në fushën e sporti, trajnime cdo vit per 20-25% e stafet teknike të sistemit sportiv kombëtar (732 teknike-trainerë,specialistë, instruktorë, mjekë etj, </t>
    </r>
    <r>
      <rPr>
        <b/>
        <i/>
        <sz val="9"/>
        <rFont val="Times New Roman"/>
        <family val="1"/>
      </rPr>
      <t>ku përparësi kanë sportistet dhe trajneret femra</t>
    </r>
    <r>
      <rPr>
        <sz val="9"/>
        <rFont val="Times New Roman"/>
        <family val="1"/>
      </rPr>
      <t>), mbështetja financiare e programeve për kërkimin shkencor dhe kualifikimin shkencor në sport, .Mbeshtetje financiare për aktivitete sportive promovuese dhe garuese ne institucionet arsimore te arsimit parauniversitar dhe universitar .
6. Të përmirësojmë cilësinë e jetës së të rinjve, përmes  rritjes së pjesëmarrjes së tyre, në punësim, në informim, në edukim dhe në vendimarrje.
7. Të përmirësojmë cilësinë e jetës së të rinjve, përmes  rritjes së pjesëmarrjes së tyre, në punësim, në informim, në edukim dhe në vendimarrje.</t>
    </r>
  </si>
  <si>
    <r>
      <t xml:space="preserve">1. Mbeshtetja financiare e Federatave Olimpike në aktivitetet Kualifikuese për Lojrat Olimpike Japoni 2020, realizimi i 30 analizave antidopin per sportistet elitar si dhe ato kandidat per Lojërat Olimpike Japoni 2020;
2. Rritja e mbështetjes financiare  për aktiviteteve kombëtare dhe ndërkombëtare për Federatat Sportive për të gjitha disilpinat sportive, sipas kalendarëve të aktiviteteve në 42 Kampionate Kombëtare dhe 42 Kupa Shqiperisë,  42 Kampionate Europiane, si dhe 42 Kampionate Botërore, në përputhje me parimet e barazise gjinore.
3. Mbështetje financiare të sportisteve elitarë, shpërblimi i tyre ne bazë të  rezultate në aktivitetet ndërkombëtare. ( medalje e fituara për 20-25 sportistë elitarë në vit       
4. Realizimi i 30 analizave antidoping ne te gjitha disiplinat sportive, si dhe organizimi i Seminareve mbi luften kunder dopingut ne sport ne funksion te Lojrave Olimpike Japoni 2020.
5. Mbështetja financiare e programeve për kërkimin shkencor dhe kualifikimin shkencor në sport, si dhe programeve trainuese në sisitemin sportiv kombëtar në funksion të rrijes së kapaciteteve në fushën e sporti, trajnime cdo vit per 20-25% e stafet teknike të sistemit sportiv kombëtar (732 teknike-trainerë,specialistë, instruktorë, mjekë etj, </t>
    </r>
    <r>
      <rPr>
        <b/>
        <i/>
        <sz val="9"/>
        <rFont val="Times New Roman"/>
        <family val="1"/>
      </rPr>
      <t>ku përparësi kanë sportistet dhe trajneret femra</t>
    </r>
    <r>
      <rPr>
        <sz val="9"/>
        <rFont val="Times New Roman"/>
        <family val="1"/>
      </rPr>
      <t>). 
6. Mbeshtetje financiare për aktivitete sportive promovuese dhe garuese ne institucionet arsimore te arsimit parauniversitar dhe universitar.
7.Të përmirësojmë cilësinë e jetës së të rinjve, përmes  rritjes së pjesëmarrjes së tyre, në punësim, në informim, në edukim dhe në vendimarrje.</t>
    </r>
  </si>
  <si>
    <t>Viti 2  2020</t>
  </si>
  <si>
    <t>1. Sigurimi i mbështetjes financiare për federatat Olimpike në aktivitete, Evropiane, Botërore në funksion të kualifikimeve për Lojrat Olimpike Japoni 2020, realizimi i 30 analizave antidopin per sportistet elitar si dhe ato kandidat per Lojërat Olimpike Japoni 2020 .
2. Mbështetja financiare  për Ekipin Kombetar Mesdhetar pjesemarres ne Lojrat e Mesdheut Taragona 2018, Spanje si dhe aktivitetet kombëtare dhe ndërkombetare për Federatat Sportive, në të gjithat disiplinat sportive, sipas kalendarëve të aktiviteteve në 42 Kampionate Kombetare, 42 Kupa Shqiperisë,  42 Kampionate Europiane, si dhe 42 Kampionate Botërore, në përputhje me parimet e barazise gjinore. 
3. Mbështetja financiare me investime në sport, për ndërtimin/rindërtimin e objekteve sportive, pasije me bazë materiale të tyre në funksion të ekipeve kombetare.
4. Zhvillimi i programeve trainuese në sistemin sportiv kombëtar në funksion të rrijes së kapaciteteve në fushën e sportit, trajnime cdo vit per 20-25% e stafet teknike të sistemit sportiv kombëtar (732 teknike-trainerë,specialistë, instruktorë, mjekë etj, ku përparësi kanë sportistet dhe trajneret femra). 
5. Rritja e mbështetjes financiare për shpërblimn e sportisteve elitar, fitues në aktivitete ndërkombetare, mbështetje financiare për 20-25 sportistë elitarë në vit, si dhe mbështetje financiare për aktivitete sportive promovuese dhe garuese ne institucionet arsimore te arsimit parauniversitar dhe universitar.
6. Të përmirësojmë cilësinë e jetës së të rinjve, përmes  rritjes së pjesëmarrjes së tyre, në punësim, në informim, në edukim dhe në vendimarrje.
7. Mbështetja financiare me investime për ristrukturimin/ ndërtimin dhe pajisjen e objekteve për rininë, në funksion të përmirësimit të kushteve për argëtim.</t>
  </si>
  <si>
    <t xml:space="preserve">1. Sigurimi i mbështetjes financiare  për federatat Olimpike dhe jo Olimpike në aktivitete, Evropiane, Boterore dhe Ballkanike, në përputhje me parimet e barazise gjinore.
2. Rritja e mbështetjes financiare për aktiviteteve kombëtare dhe ndërkombetare për Federatat Sportive, rritja e % për sportin  në fondin kombëtar të zhvillimit të Sportit, në të gjithat disiplinat sportive, sipas kalendarëve të aktiviteteve në 42 Kampionate Kombetare dhe 42 Kupa Shqiperisë,  42 Kampionate Europiane , si dhe 42 Kampionate Botërore , 42 Kampionate Ballkanike ne te gjitha kategorite e moshave, në përputhje me parimet e barazise gjinore. 
3. Mbështetja financiare me investime për ristrukturimin/ ndërtimin dhe pajisjen e objekteve sportive, në funksion të përmirësimit të kushteve, për nxitjen rritjen e numrit të ushtruesve në sport.  Implementimi i marveshjeve  në kuadër të kthimit të shkollës në qendër komunitare në disa disiplina sportive;                                          
4. Mbështetje financiare për 20-25 sportistë elitarë në vit,  reformimi i Komisionit Kombëtar Antidoping me qëllim përshtatjes se direktivave të organizave nderkombetar WADA, si dhe realizimi i 30 analizave antidopin në të gjitha disiplinat sportive.                                                                                                                                       
5. Mbështetja e programeve trainuese në sistemin sportiv kombëtar në funksion të rrijes së kapaciteteve në fushën e sportit, trajnime cdo vit per 20-25% e stafet teknike të sistemit sportiv kombëtar (732 teknike-trainerë,specialistë, instruktorë, mjekë etj ). 
6. Të përmirësojmë cilësinë e jetës së të rinjve, përmes  rritjes së pjesëmarrjes së tyre, në punësim, në informim, në edukim dhe në vendimarrje.
7. Mbështetja financiare me investime për ristrukturimin/ ndërtimin dhe pajisjen e objekteve për rininë, në funksion të përmirësimit të kushteve për argëtim, përmirësimin e infrastrukturës të qendrave rinore rajonale, nëpërmjet ngritjes dhe funksionimit të tre qendrave rinore rajonale etj
</t>
  </si>
  <si>
    <r>
      <t xml:space="preserve">Zhvillimi dhe ristrukturimi i infrastrukturës sportive, në nivel qendror, lokal dhe në institucione arsimore me synim arritjen e standarteve ndërkombëtare.  Zhvillimi i programeve arsimore për sportin si pjesë përbërëse e programit të edukimit të nxënësve dhe studentëve në institucionet arsimore. Organizimi,  inkurajimi dhe mbështetja financiare e veprimtarive të përbashkëta sportive në nivel qendror dhe lokal, </t>
    </r>
    <r>
      <rPr>
        <i/>
        <sz val="9"/>
        <color theme="1"/>
        <rFont val="Times New Roman"/>
        <family val="1"/>
      </rPr>
      <t>në përputhje me parimet e barazise gjinore</t>
    </r>
    <r>
      <rPr>
        <sz val="9"/>
        <color theme="1"/>
        <rFont val="Times New Roman"/>
        <family val="1"/>
      </rPr>
      <t xml:space="preserve">. Mbështetja financiare e Federatave Sportive të disiplinave të ndryshme, për të krijuar kushtet e nevojshme për zhvillimin e sporteve elitare, masivizimin si dhe përfshirjen e nxënësve dhe studentëve. Thellimi i reformës institucionale në fushën e menaxhimit, sportit në institucionet arsimore dhe sportit elitar. 
Rritja e pjesëmarrjes se të rinjve në programin e praktikave të punës 600-800 në vit;(punësimi në institucione me VKM), rritja e pjesëmarrjes se të rinjve në aktivitete me karakter social-kulturor dhe edukativ; rritja e pjesëmarrjes/ mbështetjes financiare  të organizatave rinore në projekteve rajonale dhe të BE (RYCO, ERAZMUS +, etj),  përmirësimin e infrastrukturës të qendrave rinore rajonale, nëpërmjet ngritjes dhe funksionimit të tre qendrave rinore rajonale etj; 
</t>
    </r>
  </si>
  <si>
    <t>Sigurimi dhe mbrojtja e të drejtave të shtetasve, që merren me edukim fizik dhe sport, në përputhje me Kartën Evropiane të Sportit dhe me rekomandimet e organizatave ndërkombëtare në këtë fushë. Fuqizimi dhe mbështetja e të rinjve dhe organizatave rinore në organizim, pjesëmarrje, aktivizim social dhe zhvillimin e potencialit të tyre. Ridimensionimi i edukimit fizik dhe sportiv si pjesë përbërëse e programit të edukimit të nxënësve dhe studentëve në institucionet arsimore. 
Rishikimi dhe zbatimi i politikave në fushën e  sportit dhe rinisë me qëllim sigurimin e  një shërbimi cilësor nëpërmjet sportit elitar dhe sportit në institucionet arsimore dhe   forcimin e statusit të të rinjve shqiptarë në të gjitha fushat e jetës si; edukim, punësim, familje, shëndetsi, mjedis, mbrojtje sociale, drejtësi  Edukimi nëpërmjet sportit si një faktor efikas në përmirësimin e shëndetit e të mirqënies për qytetaret. Mbrojtja stimulimi dhe promovimi i arritjeve sportive duke pasur si synim masivizimin  dhe  përmirsimin cilësor të sportit.  Krijimin e shanseve të barabarta dhe kushteve për  pjesmarrjen në aktivitete sportive të të gjithë shtetasve shqiptar mbështetur në të drejtat e njeriut për të ushtruar aktivitet fizik e sportiv, duke krijuar infrastrukturën e duhur ligjore, financiare dhe fizike, rregullimin e mardhenieve shtet-institucione sportive.</t>
  </si>
  <si>
    <t xml:space="preserve">Zhvillimi i Sportit dhe Rinise </t>
  </si>
  <si>
    <t>Ministria e Arsimit dhe Sportit</t>
  </si>
  <si>
    <t>Të ofrojë mbështetje ligjore, financiare, organizative dhe funksionale për individët që merren me edukim fizik dhe sport, organizatatat sportive publike dhe private si edhe sigurimin dhe mbrojtjen e të drejtave të shtetasve, që merren me edukim fizik dhe sport, në përputhje me Kartën Europiane të Sportit dhe me rekomandimet e organizatave ndërkombëtare në këtë fushë si dhe fuqizimin  e të rinjve dhe organizatave rinore në organizim, pjesëmarrje, aktivizim social dhe zhvillimin e potencialit të tyre.Zbatimi i politikave në fushën e  sportit dhe rinisë me qëllim sigurimin e  një shërbimi cilësor nëpërmjet sportit elitar dhe sportit në institucionet arsimore dhe   forcimin e statusit të të rinjve shqiptarë në të gjitha fushat e jetës si; edukim, punësim, familje, shëndetësi, mjedis, mbrojtje sociale, drejtësi. Edukimi nëpërmjet sportit si një faktor efikas në përmirësimin e shëndetit e të mirëqënies për qytetaret. Mbrojtja stimulimi dhe promovimi i arritjeve sportive duke pasur si synim masivizimin  dhe  përmirësimin cilësor të sportit.  Krijimin e shanseve të barabarta dhe kushteve për  pjesëmarrjen në aktivitete sportive të të gjithë shtetasve shqiptar mbështetur në të drejtat e njeriut për të ushtruar aktivitet fizik e sportiv, duke krijuar infrastrukturën e duhur ligjore, financiare dhe fizike, rregullimin e marrëdhënieve shtet-institucione sportive.</t>
  </si>
  <si>
    <t>Qëllimi i Politikës së Programit</t>
  </si>
  <si>
    <t xml:space="preserve">Zhvillimi dhe ristrukturimi i infrastrukturës sportive, në nivel qendror, lokal dhe në institucione arsimore me synim arritjen e standarteve ndërkombëtare.  Zhvillimi i programeve arsimore për sportin si pjesë përbërëse e programit të edukimit të nxënësve dhe studentëve në institucionet arsimore. Organizimi,  inkurajimi dhe mbështetja financiare e veprimtarive të përbashkëta sportive në nivel qendror dhe lokal, në përputhje me parimet e barazise gjinore. Mbështetja financiare e Federatave Sportive të disiplinave të ndryshme, për të krijuar kushtet e nevojshme për zhvillimin e sporteve elitare, masivizimin si dhe përfshirjen e nxënësve dhe studentëve. Thellimi i reformës institucionale në fushën e menaxhimit, sportit në institucionet arsimore dhe sportit elitar. 
Rritja e pjesëmarrjes së të rinjve në programin e praktikave të punës 600-800 në vit;(punësimi në institucione me VKM), rritja e pjesëmarrjes së të rinjve në aktivitete me karakter social-kulturor dhe edukativ; rritja e pjesëmarrjes/ mbështetjes financiare  të organizatave rinore në projekteve rajonale dhe të BE (RYCO, ERAZMUS +, etj),  përmirësimin e infrastrukturës të qendrave rinore rajonale, nëpërmjet ngritjes dhe funksionimit të tre qendrave rinore rajonale etj; </t>
  </si>
  <si>
    <t>Numri i federatat të mbështetura financiarisht.</t>
  </si>
  <si>
    <t>Numri i federatat gjithësej</t>
  </si>
  <si>
    <t>Numri i sportistëve të federuar/licensuar</t>
  </si>
  <si>
    <t>Numri aktiviteteve kombëtare/ ndërkombëtare</t>
  </si>
  <si>
    <t xml:space="preserve">Nr. I medalje te fituara Sportisteve elitarë te mbeshtetur fianciarisht per rezultate në aktivitetet kombetare e ndërkombëtare ne te gjitha kategorite e moshave ( medalje e fituara Medalje te fituar ne te gjitha disiplinat sportive gjate viti 2017 si ne ballkanike , Aktivitete Open , Evropiane Boterore : 304 total Ari 75 ; argjendi 154; bronzi 75 ,  rekorde kombëtare 29 
</t>
  </si>
  <si>
    <t>Numri i te rinjve  i përfshire në programin e praktikave të punës.</t>
  </si>
  <si>
    <t>Numri i te rinjve  i përfshire në programin e praktikave të punësuar në Institucione të administratë shtetërore. ku 20praktikante punesohen ne MASR dhe pjesa tjeter ne Min Linjes.</t>
  </si>
  <si>
    <t>20/200</t>
  </si>
  <si>
    <r>
      <t xml:space="preserve">Nr.pjesëmarrja e organizatave rinore në </t>
    </r>
    <r>
      <rPr>
        <b/>
        <i/>
        <sz val="9"/>
        <color indexed="8"/>
        <rFont val="Times New Roman"/>
        <family val="1"/>
      </rPr>
      <t xml:space="preserve">projekteve rajonale, kombetare  RYCO, etj dhe të BE (ERAZMUS +, etj), </t>
    </r>
  </si>
  <si>
    <t>Ngritja e Qendrave rinore në projekteve rajonale.(aktualisht jane 3 qendra rinore , Tirane, Korçe dhe ne Vlore duke synuar ne vitin 2021 te kemi 12 qendra rajonale rinore.</t>
  </si>
  <si>
    <t>Rritja dhe zhvillimi i kapaciteteve planifikuese dhe menaxhuese, nëpërmjet programeve trajnuese dhe zhvilluese  me 15%  të punonjësve në MAS</t>
  </si>
  <si>
    <t>Numri i sportistëve të licensuar federuar</t>
  </si>
  <si>
    <t>Federatave Olimpike dhe jo-Olimpike që marrin pjesë në aktivitete Evropiane, Ballkanike, Botërore</t>
  </si>
  <si>
    <t>Sigurimi i mbështetjes financiare  për federatat Olimpike dhe jo Olimpike në aktivitete , Evropiane, Botërore dhe Ballkanike me synim kualifikim për lojërat Olimpike Japoni 2020.</t>
  </si>
  <si>
    <t>Numri i federatave përfituese</t>
  </si>
  <si>
    <t>Produkti 2</t>
  </si>
  <si>
    <t>Aktiviteteve Kombëtare dhe Ndërkombëtare për të gjitha disiplinave.</t>
  </si>
  <si>
    <t>Mbeshtetje financiare për aktiviteteve kombëtare dhe ndërkombëtare për Federatat Sportive për të gjitha disiplinat sportive, sipas kalendarëve të aktiviteteve në 42 Kampionate Kombëtare dhe 42 Kupa Shqipërisë,  42 Kampionate Europiane , si dhe 42 Kampionate Botërore</t>
  </si>
  <si>
    <r>
      <t>Detajimi i Kostos Totale të</t>
    </r>
    <r>
      <rPr>
        <b/>
        <sz val="9"/>
        <color indexed="10"/>
        <rFont val="Times New Roman"/>
        <family val="1"/>
      </rPr>
      <t xml:space="preserve"> Produktit X </t>
    </r>
    <r>
      <rPr>
        <b/>
        <sz val="9"/>
        <color indexed="8"/>
        <rFont val="Times New Roman"/>
        <family val="1"/>
      </rPr>
      <t>sipas Artikujve Ekonomikë</t>
    </r>
  </si>
  <si>
    <t>Produkti 3</t>
  </si>
  <si>
    <t>Investime në sport , nr i godinave të reja per sportit, nr godinave të rikonstruktuar dhe pajisja me objekte sportive</t>
  </si>
  <si>
    <t>Investime në sport , rritja e fondit të investime për ristrukturimin/ ndërtimin dhe pajisjen e objekteve sportive</t>
  </si>
  <si>
    <t>Nr. objekteve të ndërtuara dedikuar sportit</t>
  </si>
  <si>
    <t>Fushatave sensibilizuese për rëndësinë e sportit në përmirësimin e jetës së qytetarëve</t>
  </si>
  <si>
    <t>Sigurimi i mbështetjes financiare për organizimin e fushatave sensibilizuese për rëndësinë e sportit në shoqëri</t>
  </si>
  <si>
    <t>Nr. fushatave sensibilizuese</t>
  </si>
  <si>
    <t xml:space="preserve"> Aktivitete sportive promovuese garuese në institucionet arsimore të arsimit parauniversitar dhe universitar</t>
  </si>
  <si>
    <t>Sigurimi i mbështetjes financiare për organizimin e aktiviteteve sportive promovuese garuese, në nivelet e arsimit parauniversitar dhe Universitar</t>
  </si>
  <si>
    <t>Numri aktiviteteve garuese promovuese</t>
  </si>
  <si>
    <t>Sportistëve elitar që kanë fituar medalje.</t>
  </si>
  <si>
    <t>Sportisteve elitarë te mbeshtetur fianciarisht per rezultate në aktivitetet ndërkombëtare. ( medalje e fituara, mbështetje financiare për 20-25 sportistë elitarë në vit</t>
  </si>
  <si>
    <t xml:space="preserve">Medaljet e fituara </t>
  </si>
  <si>
    <t>Produkti 4</t>
  </si>
  <si>
    <t xml:space="preserve">Aktiviteteve sportive kombëtare dhe ndërkombëtare, mesdhetare, evropiane, botërore, si dhe lojrat olimpike verore dimerore, të cilat shërbejnë për të promovuar sportin </t>
  </si>
  <si>
    <t>Sigurimi i mbështetjes financiare për organizimin e aktiviteteve kombëtare dhe ndërkombëtare të cilat shërbejnë për të promovuar sportin</t>
  </si>
  <si>
    <t>Numri aktiviteteve kombëtare/ ndërkombëtare për të promovuar sportin</t>
  </si>
  <si>
    <t>Zhvillimi i programeve trajnuese në sistemin sportiv kombëtar në funksion të rrijtes së kapaciteteve në fushën e sporti</t>
  </si>
  <si>
    <t>Zhvillimi i programeve trainuese në sisitemin sportiv kombëtar në funksion të rrijes së kapaciteteve në fushën e sportit, trajnime çdo vit për 20-25% e stafet teknike të sistemit sportiv kombëtar (732 teknike-trainerë,specialistë, instruktorë, mjekë etj)</t>
  </si>
  <si>
    <t>Nr i personave të trajnuar</t>
  </si>
  <si>
    <t>Programi Kombëtar i praktikave të punës</t>
  </si>
  <si>
    <t>Të  aftësojë studentët me përvojë pune, përmes pjesëmarrjes në programin kombëtar të praktikave të punës në Institucionet e administratës shtetërore</t>
  </si>
  <si>
    <t>Numri i të rinjve pjesëmarrës</t>
  </si>
  <si>
    <t xml:space="preserve">Fushata informuese për programin e praktikave </t>
  </si>
  <si>
    <t>Realizimi i Fushatave Informuese në universitete për pjesëmarrjen e të rinjve në program</t>
  </si>
  <si>
    <t>Nr. i fushatave informuese</t>
  </si>
  <si>
    <t>Krijimi i platformës ëëë.praktika.gov.al</t>
  </si>
  <si>
    <t>Platforma  ëëë.praktikat.gov.al  te jetë praktike dhe e aksesueshme, ku të rinjtë do të aplikojnë për praktikë</t>
  </si>
  <si>
    <t>Platforma e krijuar</t>
  </si>
  <si>
    <t>Kosto totale e produktit 3</t>
  </si>
  <si>
    <t>Miratimi dhe zbatimi  ligjit për rininë</t>
  </si>
  <si>
    <t>Përgatitja e ligjit për rininë me qëllim mbështetjen e organizatave rinore dhe të rinjve. Do të organizohen takime konsutative në 12 qarqe.</t>
  </si>
  <si>
    <t>Numri i projekteve të financuara</t>
  </si>
  <si>
    <r>
      <t xml:space="preserve">Detajimi i Kostos Totale të </t>
    </r>
    <r>
      <rPr>
        <b/>
        <sz val="9"/>
        <color indexed="10"/>
        <rFont val="Times New Roman"/>
        <family val="1"/>
      </rPr>
      <t xml:space="preserve">Produktit 4 </t>
    </r>
    <r>
      <rPr>
        <b/>
        <sz val="9"/>
        <color indexed="8"/>
        <rFont val="Times New Roman"/>
        <family val="1"/>
      </rPr>
      <t>sipas Artikujve Ekonomikë</t>
    </r>
  </si>
  <si>
    <t>Produkti 5</t>
  </si>
  <si>
    <t xml:space="preserve">Zbatimit të Planit Kombëtar të Veprimit për Rininë 2015-2021                   </t>
  </si>
  <si>
    <t xml:space="preserve">Realizimi i aktiviteve mbi lidershipin rinor, pjesëmarrjen në vendimmarrje, punësimin, kreativitetin dhe vullnetarizimin  informimin e të rinjve, shkëmbimin e  informacionit dhe pjesmarrjen ne zbatim te planit kombëtar të Veprimit për Rininë </t>
  </si>
  <si>
    <t>Numri i aktiviteteve</t>
  </si>
  <si>
    <t>Ngritja e qendrave Rinore</t>
  </si>
  <si>
    <t>Ngritja  e Qendrave Rinore, për realizimin e aktiviteteve social kulturore në nivel lokal për të rinjtë,  si dhe ofrimin e hapësirave publike për zhvillimin e potencialit të tyre krijues.</t>
  </si>
  <si>
    <t>Numri i qendrave</t>
  </si>
  <si>
    <t>Viti |_2019</t>
  </si>
  <si>
    <t xml:space="preserve">1.Të sigurohet që mbi 90% e fëmijëve 3-6 vjeçarë të ndjekin te paskten nje vit te arsimit parashkollor. 
2.Të realizohet trajnim çdo vit i 20-25% i mësuesve në AB dhe rreth 80 mësuesve nga diaspora si dhe 200 mësues mdihmes per femijet me AK;  
3. Të sigurohet standardi 3.5 - 5m2   për nxënës dhe sigurimi i të gjitha standardeve; Te pershtaten mjediset ekzistuese  shkollore per femijet me AK, te pajisen te gjitha ndertesat shkollore me rampen.  
4. Të sigurohet  që numri i femijeve në institucionet e arsimit parashkollor  në zonat urbane  të jetë 20-25 fëmijë për klasë/ grup;   
5. Të sigurohet që raporti  nxënës për mësues  në zonat urbane të jetë 20:1,  Të sigurohet që numri i nxënësve për klasë në zonat urbane të jetë  jo më shumë se 30; 
6. Të sigurohet 100% tërheqja e të gjithë  fëmijëve romë dhe egjiptiane dhe femijeve me aftesi te kufizuar në AB;  Të rritet kalueshmëria pa mbetje nga klasa 1-9 me 2%;  
7. Të rritet kalueshmëria  në provimet e lirimit me 1%, si dhe te permiresohen ne vijimesi rezultatet e nxenesve te arsimit fillor ne vleresimin e arritjeve;
8. Të rritet nota mesatare  në provimet e lirimit me 0.6; Të përmiresohet rezulati dhe renditja ne vleresimin PISA;  
9. Të sigurohet akses në internet për të gjithë nxënësit; 
10. Të sigurohen një kompjuter  për çdo dy nxënës në çdo shkollë për lëndët e përgjithshme të ketë jo më pak se një laborator kimie e fizike, biologjie;  
11. Të sigurohen në çdo shkollë të ketë laborator informatike sipas kategorive: me 6 PC, 11 PC dhe 16 PC sipas numrit te nxënesve  për klasë
 </t>
  </si>
  <si>
    <t xml:space="preserve">Arsimi cilësor dhe gjithëpërfshirës me synim plotësimin e standardeve  europiane. Rritja e aksesit në arsimin bazë(përfshirë parashkollorin) për të gjithë dhe me përparësi grupet vulnerabël, si dhe ulja e numrit të nxënësve që braktisin shkollën në AB.    Rritja e cilësisë së mësimdhënies, nëpërmjet trajnimit të përvitshëm të mësuesve. Reformimi i kurrikulës, si dhe përmirësimi i standardeve infrastrukturore dhe akademike (përfshirë shërbimin psiko-social) në AB. </t>
  </si>
  <si>
    <t xml:space="preserve">1). Të sigurohet rritja e aksesit të fëmijëve në arsimi parashkollor 84%, ndjekja e arsimit bazë (nga 100% e moshës 6-16), si dhe përfshirja me përparësi e grupeve vulnerabël. Rritja e treguesit të regjistrimit me 10-15% ose 350-500 fëmijë për nxënësit romë dhe egjiptianë, 10% për nxënësit me  AK.  Reformimi  i arsimit parashkollor dhe bazë, përmes miratimit te korrnizes se re kurrikulare dhe programeve per cdo grupmoshe per arsimin parashkollor, bazë, trajnimit të përvitshëm të  mësuesve/ edukatorëve dhe punonjësve të shërbimit psikosocial (150 psikologë dhe 150 punonjës social)  dhe pajisjes me materiale didaktike të kopështeve dhe shkollave.
2).  Zbatimi i kurrikulës së re (kl 1-4 dhe kl 6-9),  përgatitja e 25 programeve kualifikues, 12 module trajnimi, 40 teste trajnuese për kurrikulën e re. Trajnimi i 12.000 mësuesve te  klases 3 dhe klasës 8 (25% te mësueseve të AB) per kurrikulen e re, përfshirw  edhe  40 mësues të pakicave kombwtare, si dhe 200 mesues ndihmes per fëmijët me AK. Trajnimi i 80 mësuesve të diasporës në seminarin mbarëkombëtar për mësuesit e diasporës. Zhvillimi i vlerësimit të arritjeve të nxënësve të arsimit fillor dhe i provimeve kombëtare të lirimit.Pilotimi i PISA-s. 
3). Zhvillimi i reformës së teksteve shkollore, përmirësimi i cilësisë së teksteve shkollore si dhe kompensimi i cmimit të  teksteve shkollore nga klasa I-IX, që  vijnë nga familje të cilat trajtohen me ndihmë ekonomike dhe pagesë papunësie, fëmijëve që gëzojnë statusin ligjor të jetimit, fëmijëve që gëzojnë statusin e të verbrit, fëmijëve të pakicave kombëtare, për nxënësit romë, egjiptianë,  fëmijëve të familjeve të emigrantëvefëmijë të familjeve që kanë në përbërjen e tyre anëtarë me aftësi të kufizuar, fëmijë që vijnë nga familje ku kryefamiljari përfiton pension pleqërie shteti dhe kanë fëmijë në ngarkim, të cilët janë pa të ardhura; familje në nevojë, viktima te trafikimit, si dhe dhënia falas e teksteve shkollore të fëmijëve që ndjekin studimet në klasën parë deri në klasën katër. 
4). Sigurimi i transportit të nxënësve për ndjekjen e arsimit parashkollor dhe bazë që mësojnë në një distancë prej më shumë se 2 km nga vendbanimi i përhershëm i tyre si dhe mësuesve që punojnë e banojnë më shumë se rreth 5 km nga vendbanimi i tyre dhe mbulimi 100% i shpenzimeve të transporti me fonde të buxhetit.
</t>
  </si>
  <si>
    <t xml:space="preserve">1). Të sigurohet rritja e aksesit të fëmijëve në arsimi parashkollor 86%, ndjekja e arsimit bazë (nga 100% e moshës 6-16), si dhe përfshirja me përparësi e grupeve vulnerabël. Rritja e treguesit të regjistrimit me 10-15% ose 350-500 fëmijë për nxënësit romë dhe egjiptianë, 10% për nxënësit me  AK.  Reformimi  i arsimit parashkollor dhe bazë, përmes miratimit te korrnizes se re kurrikulare dhe programeve per cdo grupmoshe per arsimin parashkollor, bazë, trajnimit të përvitshëm të  mësuesve/ edukatorëve dhe punonjësve të shërbimit psikosocial (150 psikologë dhe 150 punonjës social)  dhe pajisjes me materiale didaktike të kopështeve dhe shkollave. 
2) Zbatimi/implementimi i kurrikulës së re klasa 1-5 dhe klasa 6-9,  përgatitja e 25 programeve kualifikues, 12 module trajnimi, 40 teste  trajnuese për kurrikulën e re. Trajnimi i 12.000 mësuesve te klasa 4 dhe klasës 9 ( trajnimi 25% te mësueseve të AB) per kurrikulen e re, përfshirw  edhe  40 mësues të pakicave kombwtare, si dhe 200 mesues ndihmes per fëmijët me AK. Trajnimi i 80 mësuesve të diasporës në seminarin mbarëkombëtar për mësuesit e diasporës.
3). Zhvillimi i reformës së teksteve shkollore, përmirësimi i cilësisë së teksteve shkollore si dhe kompensimi i cmimit të  teksteve shkollore nga klasa I-IX, në masën 100 % fëmijëve që vijnë nga familje të cilat trajtohen me ndihmë ekonomike dhe pagesë papunësie, fëmijëve që gëzojnë statusin ligjor të jetimit, fëmijëve që gëzojnë statusin e të verbrit, fëmijëve të pakicave kombëtare, për nxënësit romë, egjiptianë,  fëmijëve të familjeve të emigrantëve që jetojnë jashtë territorit të Republikës së Shqipërisë, fëmijët që vijnë nga familje të cilat trajtohen me ndihmë ekonomike dhe pagesë papunësie; fëmijë të familjeve që kanë në përbërjen e tyre anëtarë me aftësi të kufizuar, fëmijë që vijnë nga familje ku kryefamiljari përfiton pension pleqërie shteti dhe kanë fëmijë në ngarkim, të cilët janë pa të ardhura; familje në nevojë, viktimave te trafikimit, si dhe dhënia falas e teksteve shkollore të fëmijëve që ndjekin studimet në klasën parë deri në klasën pestë. 
4). Sigurimi i transportit të nxënësve për ndjekjen e arsimit parashkollor dhe bazë që mësojnë në një distancë prej më shumë se 2 km nga vendbanimi i përhershëm i tyre si dhe mësuesve që punojnë e banojnë më shumë se rreth 5 km nga vendbanimi i tyre dhe mbulimi 100% i shpenzimeve të transporti me fonde të buxhetit. 
</t>
  </si>
  <si>
    <t xml:space="preserve"> 1). Të sigurohet rritja e aksesit të fëmijëve në arsimi parashkollor 88%, ndjekja e arsimit bazë (nga 100% e moshës 6-16), si dhe përfshirja me përparësi e grupeve vulnerabël. Rritja e treguesit të regjistrimit me 10-15% ose 350-500 fëmijë për nxënësit romë dhe egjiptianë, 10% për nxënësit me  AK.  Reformimi  i arsimit parashkollor dhe bazë, përmes miratimit te korrnizes se re kurrikulare dhe programeve per cdo grupmoshe per arsimin parashkollor, bazë, trajnimit të përvitshëm të  mësuesve/ edukatorëve dhe punonjësve të shërbimit psikosocial (150 psikologë dhe 150 punonjës social)  dhe pajisjes me materiale didaktike të kopështeve dhe shkollave. 
2). Zbatimi/implementimi i kurrikulës së re (kl 1-3 dhe kl 6-8 ), hartimi i kurrikules se re ( kl 4 dhe kl 9) përgatitja e 25 programeve kualifikues, 12 module trajnimi, 40 teste  trajnuese për kurrikulën e re. Trajnimi i 12.000 mësuesve te kl 2 dhe 7 (25% te mësueseve të AB) per kurrikulen e re, përfshirw  edhe  40 mësues të pakicave kombwtare, si dhe 200 mesues ndihmes per fëmijët me AK. Trajnimi i 80 mësuesve të diasporës në seminarin mbarëkombëtar për mësuesit e diasporës.
 3). Zhvillimi i reformës së teksteve shkollore, përmirësimi i cilësisë së teksteve shkollore si dhe kompensimi i cmimit të  teksteve shkollore nga klasa I-IX, në masën 100 % fëmijëve që vijnë nga familje të cilat trajtohen me ndihmë ekonomike dhe pagesë papunësie, fëmijëve që gëzojnë statusin ligjor të jetimit, fëmijëve që gëzojnë statusin e të verbrit, fëmijëve të pakicave kombëtare, për nxënësit romë, egjiptianë,  fëmijëve të familjeve të emigrantëvefëmijë të familjeve që kanë në përbërjen e tyre anëtarë me aftësi të kufizuar, fëmijë që vijnë nga familje ku kryefamiljari përfiton pension pleqërie shteti dhe kanë fëmijë në ngarkim, të cilët janë pa të ardhura; familje në nevojë, viktima te trafikimit, si dhe dhënia falas e teksteve shkollore të fëmijëve që ndjekin studimet në klasën parë deri në klasën pestë. 
4). Sigurimi i transportit të nxënësve për ndjekjen e arsimit parashkollor dhe bazë që mësojnë në një distancë prej më shumë se 2 km nga vendbanimi i përhershëm i tyre si dhe mësuesve që punojnë e banojnë më shumë se rreth 5 km nga vendbanimi i tyre dhe mbulimi 100% i shpenzimeve të transporti me fonde të buxhetit. 
</t>
  </si>
  <si>
    <t xml:space="preserve">1). Të sigurohet rritja e aksesit të fëmijëve në arsimi parashkollor 90%+, ndjekja e arsimit bazë (nga 100% e moshës 6-16), si dhe përfshirja me përparësi e grupeve vulnerabël. Rritja e treguesit të regjistrimit me 10-15% ose 350-500 fëmijë për nxënësit romë dhe egjiptianë, 10% për nxënësit me  AK.  Reformimi  i arsimit parashkollor dhe bazë, përmes miratimit te korrnizes se re kurrikulare dhe programeve per cdo grupmoshe per arsimin parashkollor, bazë, trajnimit të përvitshëm të  mësuesve/ edukatorëve dhe punonjësve të shërbimit psikosocial (150 psikologë dhe 150 punonjës social)  dhe pajisjes me materiale didaktike të kopështeve dhe shkollave. 
2). Zbatimi kurrikulës së re (kl 1--9 ),  si dhe trajnimi nw vijimwsi i mwsuesve tw arsimit bazw pwrfshirw dhe mwsuesit e pakicave kombwtare, si dhe mwsuesit ndihmws pwr fwmijwt me AK. Trajnimi i 80 mësuesve të diasporës në seminarin mbarëkombëtar për mësuesit e diasporës
3). Përmirësimi i cilësisë së teksteve shkollore dhe kompensimi  100% nga klasa I-IX për nxënësit rome, egjiptiane,  fëmijët me statusin ligjor të jetimit, fëmijët që gëzojnë statusin e të verbrit, fëmijë  të pakicave kombëtare, fëmijë  të familjeve të emigrantëve që jetojnë jashtë territorit të Republikës së Shqipërisë, femijë  që vijnë nga familje të cilat trajtohen me ndihmë ekonomike dhe pagesë papunësie; fëmijë të familjeve që kanë në përbërjen e tyre anëtarë me aftësi të kufizuar, fëmijë që vijnë nga familje ku kryefamiljari përfiton pension pleqërie shteti dhe kanë fëmijë në ngarkim, të cilët janë pa të ardhura; familje në nevojë, viktimave te trafikimit, si dhe dhënia falas e teksteve shkollore të fëmijëve që ndjekin studimet në klasën parë deri në klasën pestë.
4). Sigurimi i transportit të nxënësve për ndjekjen e arsimit parashkollor dhe baze  që mësojnë në një distancë prej më shumë se 2 km nga vendbanimi i përhershëm i tyre si dhe mësuesve që punojnë e banojnë më shumë se rreth 5 km nga vendbanimi i tyre.
</t>
  </si>
  <si>
    <t xml:space="preserve">Krijimi i mundësive për çdo nxënës që përfundon arsimin bazë të regjistrohet në arsimin e mesëm të lartë, përfshirë dhe arsimin profesional.  Reformimi dhe zbatimi i kurrikulës së re (me kompetenca). Rritja e cilësisë së mësimdhënies, nëpërmjet trajnimit të përvitshëm të mësuesve, si dhe zhvillimit profesional të tyre, sipas sistemit te ri për zhvillimin e vazhdueshme profesional. Përmirësimi i standardeve infrastrukturore dhe akademike. Realizimi çdo vit i Maturës Shtetërore dhe portalit "Mësues për Shqipërinë". </t>
  </si>
  <si>
    <t xml:space="preserve">1). Nxënës që regjistrohen dhe ndjekin arsimin e mesëm të lartë të arrijë në 95-97% e nxënësve që përfundojnë arsimin bazë.                            2). Zbatimi i kurrikules se re dhe trajnimi i mësuesve të  klases se 11 ne gjimnaze dhe shkollat social-kulturore, si dhe zbatimi i sistemit te ri te zhvillimit profesional.                                                                                                                                                                                                         3). Realizimi i Maturës Shtetërore 2018. Realizimi i testimit "Mësues për Shqipërinë", në formë elektronike.                                                         4). Përmirësimi i infrastrukturës ekzistuese në arsimin e mesëm (rehabilitimi i 9% të klasave në gjimnazeve në zonat urbane, shtimi me 5%-8% i klasave të reja në zonat urbane,pajisja me mjete didaktike për Fizikë-Kimi-Biologji  per  8 % ne vit te shkollave të mesme,  pajisja i klasave/shkollave me klasa mësimore inteligjente/ digjitale, si dhe pasurimi i bibliotekave në të gjitha shkollat me 10% te fondit ekzistues te bibliotekave). </t>
  </si>
  <si>
    <t xml:space="preserve">  1).  Nxënës që regjistrohet dhe ndjekin arsimin e mesëm të lartë të arrijë në 96-98% e nxënësve që përfundojnë arsimin bazë, nga te cilet 65% te ndjekin AM Gjimaze dhe 35% ne arsimin profesional..                                                                                                                                        2). Zbatimi i kurrikules se re dhe trajnimi i mësuesve të  klases se 12 ne gjimnaze dhe shkollat social-kulturore, si dhe zbatimi i sistemit te ri te zhvillimit profesional.                                                                                                                                                                                                          3).  Realizimi i Maturës Shtetërore 2019 sipas kurrikulës së re (tri provime të detyruara dhe vetëm një provim me zgjedhje).  Realizimi i testimit "Mësues për Shqipërinë".                                                                                                                                                                                       4). Përmirësimi i infrastrukturës ekzistuese në arsimin e mesëm (rehabilitimi i 10% të klasave në gjimnazeve në zonat urbane, shtimi me 5%-8% i klasave të reja në zonat urbane,pajisja me mjete didaktike për Fizikë-Kimi-Biologji  per  8 % ne vit te shkollave të mesme,  pajisja i klasave/shkollave me klasa mësimore inteligjente/ digjitale, si dhe pasurimi i bibliotekave në të gjitha shkollat me 10% te fondit ekzistues te bibliotekave). </t>
  </si>
  <si>
    <t xml:space="preserve">  1).  Nxënës që regjistrohet dhe ndjekin arsimin e mesëm të lartë të arrijë në 98-100% e nxënësve që përfundojnë arsimin bazë, nga te cilet 65% te ndjekin AM Gjimaze dhe 35% ne arsimin profesional.                                                                                                                                          2. Konsolidimi  i kurrikules se re te klases 10-11- 12, nëpërmjet trajnimit  të drejtuesve dhe mësuesve te gjimnazeve dhe shkollave social-kulturore, si dhe zbatimi i sistemit te ri te zhvillimit profesional.                                                                                                                                       3).  Realizimi i Maturës Shtetërore 2020.  Realizimi i testimit "Mësues për Shqipërinë".                                                                                                 4).Përmirësimi i infrastrukturës ekzistuese në arsimin e mesëm (rehabilitimi i 10-12% të klasave në gjimnazeve në zonat urbane, shtimi me 5%-8% i klasave të reja në zonat urbane,pajisja me mjete didaktike për Fizikë-Kimi-Biologji  per  5-8 % ne vit te shkollave të mesme,  pajisja i klasave/shkollave me klasa mësimore inteligjente/ digjitale, si dhe pasurimi i bibliotekave në të gjitha shkollat me 10% te fondit ekzistues te bibliotekave). </t>
  </si>
  <si>
    <t xml:space="preserve">  1).  Nxënës që regjistrohet dhe ndjekin arsimin e mesëm të lartë të arrijë në 98-100% e nxënësve që përfundojnë arsimin bazë, nga te cilet 65% te ndjekin AM Gjimaze dhe 35% ne arsimin profesional.                                                                                                                                          2. Konsolidimi  i kurrikules se re te klases 10-11- 12, nëpërmjet trajnimit  të drejtuesve dhe mësuesve te gjimnazeve dhe shkollave social-kulturore, si dhe zbatimi i sistemit te ri te zhvillimit profesional.                                                                                                                                       3).  Realizimi i Maturës Shtetërore 2021.  Realizimi i testimit "Mësues për Shqipërinë".                                                                                                 4).Përmirësimi i infrastrukturës ekzistuese në arsimin e mesëm (rehabilitimi i 10-12% të klasave në gjimnazeve në zonat urbane, shtimi me 5%-8% i klasave të reja në zonat urbane,pajisja me mjete didaktike për Fizikë-Kimi-Biologji  per  5-8 % ne vit te shkollave të mesme,  pajisja i klasave/shkollave me klasa mësimore inteligjente/ digjitale, si dhe pasurimi i bibliotekave në të gjitha shkollat me 10% te fondit ekzistues te bibliotekave). </t>
  </si>
  <si>
    <r>
      <t xml:space="preserve">1 - Në vitin 2021, kurrikulat e arsimit tw meswm, janë të njëjta me kurrikulat analoge të BE.  
2 - Në vitin 2021, arritja e standardit evropian, jo më shumë se 28 - 30 nxënës për klasë në zonën urbane. 
 3 - Në vitit 2021,  98-100% e nxënësve që mbarojnë arsimin bazë të regjistrohen në një nga format/ llojet e arsimit të mesëm. 
4 - 100% shërbimit arsimor realizohet vetëm me një turn (08.00-15.30).
 5- 100% të shkollave/ klasave kanë akses në internet.
 6 - Mësimdhënie në klasa mësimore inteligjente/ digjitale (sipas kurikulës lëndore).    
 7 - </t>
    </r>
    <r>
      <rPr>
        <b/>
        <sz val="10"/>
        <rFont val="Times New Roman"/>
        <family val="1"/>
      </rPr>
      <t>Raportit nxënës /kompjuter,</t>
    </r>
    <r>
      <rPr>
        <sz val="10"/>
        <rFont val="Times New Roman"/>
        <family val="1"/>
      </rPr>
      <t xml:space="preserve"> me 1 kompjuter për 2 nxënës në orën e mësimit (sipas kurikulës lëndore).       
8-  Pajisja e 100 % të nxënësve me tekste mësimore në përputhje me kurikulat e reja. 
 9- Rimbursim 100%  për fëmijët e kategorive socile në nevojë për koston/çmimin e teksteve shkollore me fonde nga buxheti i shtetit.  
 10- Trajnimi i 10% - 15 % për çdo vit  të punonjësve mësimore.
</t>
    </r>
  </si>
  <si>
    <t xml:space="preserve">Politikat Ekzistuese </t>
  </si>
  <si>
    <r>
      <rPr>
        <b/>
        <sz val="10"/>
        <color theme="1"/>
        <rFont val="Garamond"/>
        <family val="1"/>
      </rPr>
      <t>Punonjës dhe specialistëve të trajnuar</t>
    </r>
    <r>
      <rPr>
        <sz val="10"/>
        <color theme="1"/>
        <rFont val="Garamond"/>
        <family val="1"/>
      </rPr>
      <t xml:space="preserve"> me qëllim zhvillimi i kapaciteteve planifikuese dhe menaxhuese, nëpërmjet programeve trajnuese dhe zhvilluese   15-18%  të punonjësve në MAS, njësive arsimore vendore dhe institucioneve arsimore për 100-120 punonjës, në vit .</t>
    </r>
  </si>
  <si>
    <r>
      <rPr>
        <b/>
        <sz val="10"/>
        <color theme="1"/>
        <rFont val="Garamond"/>
        <family val="1"/>
      </rPr>
      <t>Trajnimi çdo vit për  80-100 drejtuesve  të institucioneve arsimore si menaxher i shkolles,</t>
    </r>
    <r>
      <rPr>
        <sz val="10"/>
        <color theme="1"/>
        <rFont val="Garamond"/>
        <family val="1"/>
      </rPr>
      <t xml:space="preserve">  për realizimin e autonomisë së institucioneve arsimore/shkollës në funksion të decentralizimi i shërbimit arsimor, si dhe rritjes të autonomisë së shkollave duke fuqizuar kapacitetet planifikuese dhe menaxhuese në shkollë,  në përputhje me parimet e barazise gjinore.</t>
    </r>
  </si>
  <si>
    <t xml:space="preserve">Numri i institucioneve arsimore (Aparati+38 DAR/Za +ISHA + 3 Institu  +13 IAL + 4 Ins ne IAL +AKKSHI instit+25 Instituc/ Federata </t>
  </si>
  <si>
    <r>
      <rPr>
        <b/>
        <sz val="10"/>
        <color theme="1"/>
        <rFont val="Garamond"/>
        <family val="1"/>
      </rPr>
      <t>Krijimin e një sistemi të përshtatshëm, efektiv dhe efiçient të MFK-së konform standardet ligjore</t>
    </r>
    <r>
      <rPr>
        <sz val="10"/>
        <color theme="1"/>
        <rFont val="Garamond"/>
        <family val="1"/>
      </rPr>
      <t>,  me synim përdorimin me eficensë dhe efektivitetit në punë të burimeve njerëzore, nëpërmjet përmirësimit të kushteve të punës, rinovimit të paisjeve e aseteve të qëndrueshme  me 10% në vit, pajisjeve të zyrave, pajisje teknollogjike, rikonstruksionin/zgjerimit e objekteve ekzistuese.</t>
    </r>
  </si>
  <si>
    <t>Krijimi i kushteve te punes per punonjesit ne MAS,DAR/ZA, me synim përdorimin me eficensë dhe efektivitetit në punë të burimeve njerëzore,  pwr realizimin e kwrkesave ligjore dhe implementimin e strategjive nw arsim.</t>
  </si>
  <si>
    <t>Vleresimi i punes se punonjesve ne MAS,DAR/ZA mbeshtetur ne pershkrimin e punes dhe performancen e vleresimit, pagesa e pagave te punes mbeshtetur dhe ne vleresimin vjetor. me synim përdorimin me eficensë dhe efektivitetit në punë të burimeve njerëzore, dhe krijimin e një sistemi të përshtatshëm, efektiv dhe efiçient të MFK-së pwr realizimin e kwrkesave ligjore.</t>
  </si>
  <si>
    <t>Rikonstruksioni  dhe zgjerimi i mjediseve ekzistuese ne  DAR/ZA, per krijimin e kushteve te punes ne masen 8-10% e institucioneve  MASR, DAR/ZA</t>
  </si>
  <si>
    <t>Fondet  Prog PMA ne 000 leke formati 2.1 000 leke</t>
  </si>
  <si>
    <t>Prog PMA ne 000 leke formati 3 Politika te Reja 000 leke</t>
  </si>
  <si>
    <t>% e  fondeve  te Politikave te Reja formati 3 ndaj form 2.1</t>
  </si>
  <si>
    <r>
      <rPr>
        <b/>
        <sz val="10"/>
        <color indexed="8"/>
        <rFont val="Times New Roman"/>
        <family val="1"/>
      </rPr>
      <t xml:space="preserve">Sigurimi i cilësisë në AL </t>
    </r>
    <r>
      <rPr>
        <sz val="10"/>
        <color indexed="8"/>
        <rFont val="Times New Roman"/>
        <family val="1"/>
      </rPr>
      <t xml:space="preserve">në nivel institucional e të programeve të studimit sipas kritereve e standardeve ndërkombëtare të HEAL-it,  në përputhje me kërkesat e tregut lokal dhe kombëtar të punës. Akreditimi institucional në 100% të IAL-ve  </t>
    </r>
    <r>
      <rPr>
        <sz val="10"/>
        <color indexed="8"/>
        <rFont val="Times New Roman"/>
        <family val="1"/>
      </rPr>
      <t xml:space="preserve">të programeve të studimit. </t>
    </r>
    <r>
      <rPr>
        <b/>
        <sz val="10"/>
        <color indexed="8"/>
        <rFont val="Times New Roman"/>
        <family val="1"/>
      </rPr>
      <t>Të garantojë mundësi të barabarta</t>
    </r>
    <r>
      <rPr>
        <sz val="10"/>
        <color indexed="8"/>
        <rFont val="Times New Roman"/>
        <family val="1"/>
      </rPr>
      <t xml:space="preserve">, mbi bazën e meritës, për të gjithë individët që duan të ndjekin studimet në arsimin e lartë. </t>
    </r>
    <r>
      <rPr>
        <sz val="10"/>
        <color indexed="8"/>
        <rFont val="Times New Roman"/>
        <family val="1"/>
      </rPr>
      <t>Të bazojë sistemin e arsimit të lartë mbi parimin e konkurrencës së lirë mes institucioneve të arsimit të lartë, personelit akademik dhe studentëve. Për të garantuar aksesin në arsimin e lartë, sipas meritës, pavarësisht nga mundësitë financiare të individëve.</t>
    </r>
  </si>
  <si>
    <t>Programi i Arsimit të Lartë synon zhvillimin e Arsimit të Lartë në funksion të mbështetjes së prioriteteve strategjike, interesave të zhvillimit të vendit dhe integrimit  evropian, në përputhje me kërkesat e procesit të Bolonjës dhe të Hapsirës Evropiane të Arsimit të Lartë (HEAL). Ofrimi i studimeve universitare në të tre ciklet e studimit synohet nëpërmjet sigurimit të standarteve duke integruar në mënyrë më efektive mësimdhënien me kërkimin shkencor. Financimi i IAL-ve, garanton burime financiare që në nivel kombëtar në mbështetje të arsimit të lartë, rritjen e autonomisë financiare, organizative, përzgjedhjes së personelit dhe qeverisëse  të IAL. Ofrimi i studimeve universitare në të tre ciklet e studimit synohet nëpërmjet sigurimit të standarteve duke integruar në mënyrë më efektive mësimdhënien me kërkimin shkencor.</t>
  </si>
  <si>
    <t>Sigurimi i cilësisë në AL në nivel institucional e të programeve të studimit sipas kritereve e standardeve ndërkombëtare të HEAL-it,  në përputhje me kërkesat e tregut lokal dhe kombëtar të punës. garantojë mundësi të barabarta, mbi bazën e meritës, për të gjithë individët që duan të ndjekin studimet në arsimin e lartë</t>
  </si>
  <si>
    <t xml:space="preserve">% Fondet Grant nga buxheti I shtetit, ndaj totalit te fondeve ne IAL  </t>
  </si>
  <si>
    <r>
      <rPr>
        <b/>
        <i/>
        <sz val="9"/>
        <color theme="1"/>
        <rFont val="Times New Roman"/>
        <family val="1"/>
      </rPr>
      <t>Fonde grant</t>
    </r>
    <r>
      <rPr>
        <i/>
        <sz val="9"/>
        <color theme="1"/>
        <rFont val="Times New Roman"/>
        <family val="1"/>
      </rPr>
      <t xml:space="preserve"> për student ne ciklin e pare ne 000 leke </t>
    </r>
  </si>
  <si>
    <t>Numri i trupës akademike, pedagogë të brendshëm në IAL publike.</t>
  </si>
  <si>
    <t xml:space="preserve">Totali I Fondeve Grant nga buxheti I shtetit,ne IAL publike ne 000 leke </t>
  </si>
  <si>
    <t xml:space="preserve">Studentë që përfitojnë bursa financiare si dhe mbështetje  financiare, aksesi në arsimin e lartë, sipas meritës, pavarësisht nga mundësitë financiare të individëve. </t>
  </si>
  <si>
    <t xml:space="preserve">Realizimi i politikave të përfshirjes sociale dhe aksesit të gjërë në AL nëpërmjet skemës së kredidhënies studentore dhe mbështetjes financiare me bursa për kategoritë në nevojë, si dhe heqjen e barrierave arkitektonike në IAL. Fonde për mbështetjen e studenteve, janë parashikuar fonde për të mbuluar shpenzimet për bursat e studentëve nga  shtresat sociale në nevojë si dhe studentëve ekselencë në IAL publike në këtë grup shpenzimesh në shumën e parashikuar prej 400 milion lekë në vit. Ky fond u jep mundësinë 5000-6000 studentëve  për të ndjekur studimet në institucionet publike të arsimit të lartë, në një program të ciklit të parë, në një program të integruar të studimeve ose në një program të studimeve profesionale, kategori të caktuara të studentëve, të cilët nuk kanë mundësi financiare për të përballuar kostot e shkollimit. Po kështu në vijim janë parashikuar fonde për të mbuluar shpenzimet e studentëve për akomodimin e studentëve në tetë “Shoqëritë e Trajtimit të studentëve në Tiranë dhe në Rrethe”, ku parashikohet të akomodohet rreth 8 mijë studentë, janë parashikuar 250- 300 milion lekë në vit
</t>
  </si>
  <si>
    <t xml:space="preserve">FORMAT 3: FORMATI STANDARD I PËRGATITJES SË KËRKESAVE BUXHETORE PBA 2019-2021 </t>
  </si>
  <si>
    <t xml:space="preserve">Politikat te REJA </t>
  </si>
  <si>
    <t xml:space="preserve">Totali </t>
  </si>
  <si>
    <t xml:space="preserve">TOTALI </t>
  </si>
  <si>
    <t xml:space="preserve">Studentë që përfitojnë bursa financiare si dhe mbështetje financiare për SH Trajtim Studenti për uljen e tarifës së akomodimit të studentëve. Studentë që përfitojnë nga Implementimi i skemës së re të të pranimit në IAL përmes vendosjes së prioriteteve kombëtare për pranimin e studenteve.  Aksesi në arsimin e lartë, sipas meritës, pavarësisht nga mundësitë financiare të individëve. Mbështetje e mobilitetit të studentëve dhe pedagogëve dhe ndërkombëtarizimit të arsimit të lartë. </t>
  </si>
  <si>
    <t xml:space="preserve">Realizimi i politikave të përfshirjes sociale dhe aksesit të gjërë në AL nëpërmjet skemës së  mbështetjes financiare me bursa për kategoritë në nevojë, si dhe heqjen e barrierave arkitektonike në IAL. Fonde për mbështetjen e studenteve, janë parashikuar fonde për të mbuluar shpenzimet për bursat e studentëve nga  shtresat sociale në nevojë si dhe studentëve ekselencë në IAL publike në këtë grup shpenzimesh në shumën e parashikuar prej 400 milion lekë në vit. Ky fond u jep mundësinë 5000-6000 studentëve  për të ndjekur studimet në institucionet publike të arsimit të lartë, në një program të ciklit të parë, në një program të integruar të studimeve ose në një program të studimeve profesionale, kategori të caktuara të studentëve, të cilët nuk kanë mundësi financiare për të përballuar kostot e shkollimit. Po kështu në vijim janë parashikuar fonde për të mbuluar shpenzimet e studentëve për akomodimin e studentëve në tetë “Shoqëritë e Trajtimit të studentëve në Tiranë dhe në Rrethe”, ku parashikohet të akomodohet rreth 8 mijë studentë, janë parashikuar 250- 300 milion lekë në vit
</t>
  </si>
  <si>
    <r>
      <rPr>
        <b/>
        <i/>
        <sz val="8"/>
        <color theme="1"/>
        <rFont val="Times New Roman"/>
        <family val="1"/>
      </rPr>
      <t>Fonde grant</t>
    </r>
    <r>
      <rPr>
        <i/>
        <sz val="8"/>
        <color theme="1"/>
        <rFont val="Times New Roman"/>
        <family val="1"/>
      </rPr>
      <t xml:space="preserve"> për student ne ciklin e pare ne 000 leke </t>
    </r>
  </si>
  <si>
    <t xml:space="preserve">Fonde grant për student ne ciklin e pare ne 000 leke </t>
  </si>
  <si>
    <r>
      <rPr>
        <b/>
        <sz val="8"/>
        <color theme="1"/>
        <rFont val="Times New Roman"/>
        <family val="1"/>
      </rPr>
      <t>Fonde grant</t>
    </r>
    <r>
      <rPr>
        <sz val="8"/>
        <color theme="1"/>
        <rFont val="Times New Roman"/>
        <family val="1"/>
      </rPr>
      <t xml:space="preserve"> për student ne ciklin e pare ne 000 leke </t>
    </r>
  </si>
  <si>
    <t>Fonde per student 000 leke ne tre ciklet (Fonde grant +Te ardhurat+Grant Politika te reja )</t>
  </si>
  <si>
    <t xml:space="preserve">Totali I Fondeve Grant nga buxheti I shtetit, ne IAL publike  +Fonde per politika te reja, 000 leke </t>
  </si>
  <si>
    <t>Totali I fondeve Grant per IAL Publike +Te ardhurat dytesore +Fonde Grant Politika te Reja 000 leke.</t>
  </si>
  <si>
    <r>
      <t xml:space="preserve">Detajimi i Kostos Totale të </t>
    </r>
    <r>
      <rPr>
        <b/>
        <sz val="8"/>
        <color indexed="10"/>
        <rFont val="Times New Roman"/>
        <family val="1"/>
      </rPr>
      <t>Produktit B</t>
    </r>
    <r>
      <rPr>
        <b/>
        <sz val="8"/>
        <color indexed="8"/>
        <rFont val="Times New Roman"/>
        <family val="1"/>
      </rPr>
      <t xml:space="preserve"> sipas Artikujve Ekonomikë</t>
    </r>
  </si>
  <si>
    <r>
      <t>Ndryshimi në % i Pagave si pasojë e ndryshimit të sasisë së produktit</t>
    </r>
    <r>
      <rPr>
        <b/>
        <i/>
        <sz val="8"/>
        <color rgb="FFFF0000"/>
        <rFont val="Garamond"/>
        <family val="1"/>
      </rPr>
      <t>**</t>
    </r>
  </si>
  <si>
    <r>
      <t>Ndryshimi në % i Sigurimeve Shoqërore dhe Shendetësore si pasojë e ndryshimit të sasisë së produktit</t>
    </r>
    <r>
      <rPr>
        <b/>
        <i/>
        <sz val="8"/>
        <color rgb="FFFF0000"/>
        <rFont val="Garamond"/>
        <family val="1"/>
      </rPr>
      <t>**</t>
    </r>
  </si>
  <si>
    <r>
      <t>Ndryshimi në % i Mallrave dhe Shërbimeve si pasojë e ndryshimit të sasisë së produktit</t>
    </r>
    <r>
      <rPr>
        <b/>
        <i/>
        <sz val="8"/>
        <color rgb="FFFF0000"/>
        <rFont val="Garamond"/>
        <family val="1"/>
      </rPr>
      <t>**</t>
    </r>
  </si>
  <si>
    <r>
      <t>Ndryshimi në % i Subvencioneve si pasojë e ndryshimit të sasisë së produktit</t>
    </r>
    <r>
      <rPr>
        <b/>
        <i/>
        <sz val="8"/>
        <color rgb="FFFF0000"/>
        <rFont val="Garamond"/>
        <family val="1"/>
      </rPr>
      <t>**</t>
    </r>
  </si>
  <si>
    <r>
      <t>Ndryshimi në % i Transfertave të brendshme si pasojë e ndryshimit të sasisë së produktit</t>
    </r>
    <r>
      <rPr>
        <b/>
        <i/>
        <sz val="8"/>
        <color rgb="FFFF0000"/>
        <rFont val="Garamond"/>
        <family val="1"/>
      </rPr>
      <t>**</t>
    </r>
  </si>
  <si>
    <r>
      <t>Ndryshimi në % i Transfertave të jashtme si pasojë e ndryshimit të sasisë së produktit</t>
    </r>
    <r>
      <rPr>
        <b/>
        <i/>
        <sz val="8"/>
        <color rgb="FFFF0000"/>
        <rFont val="Garamond"/>
        <family val="1"/>
      </rPr>
      <t>**</t>
    </r>
  </si>
  <si>
    <r>
      <t>Ndryshimi në % i Transfertave për familjet dhe individët si pasojë e ndryshimit të sasisë së produktit</t>
    </r>
    <r>
      <rPr>
        <b/>
        <i/>
        <sz val="8"/>
        <color rgb="FFFF0000"/>
        <rFont val="Garamond"/>
        <family val="1"/>
      </rPr>
      <t>**</t>
    </r>
  </si>
  <si>
    <r>
      <t xml:space="preserve">Detajimi i Kostos Totale të </t>
    </r>
    <r>
      <rPr>
        <sz val="8"/>
        <color indexed="10"/>
        <rFont val="Times New Roman"/>
        <family val="1"/>
      </rPr>
      <t>Produktit B</t>
    </r>
    <r>
      <rPr>
        <sz val="8"/>
        <color indexed="8"/>
        <rFont val="Times New Roman"/>
        <family val="1"/>
      </rPr>
      <t xml:space="preserve"> sipas Artikujve Ekonomikë</t>
    </r>
  </si>
  <si>
    <r>
      <t xml:space="preserve">Detajimi i Kostos Totale të </t>
    </r>
    <r>
      <rPr>
        <sz val="8"/>
        <color indexed="10"/>
        <rFont val="Times New Roman"/>
        <family val="1"/>
      </rPr>
      <t>Produktit 1</t>
    </r>
    <r>
      <rPr>
        <sz val="8"/>
        <color indexed="8"/>
        <rFont val="Times New Roman"/>
        <family val="1"/>
      </rPr>
      <t xml:space="preserve"> sipas Artikujve Ekonomikë</t>
    </r>
  </si>
  <si>
    <r>
      <t xml:space="preserve">Detajimi i Kostos Totale të </t>
    </r>
    <r>
      <rPr>
        <sz val="8"/>
        <color indexed="10"/>
        <rFont val="Times New Roman"/>
        <family val="1"/>
      </rPr>
      <t>Produktit 2</t>
    </r>
    <r>
      <rPr>
        <sz val="8"/>
        <color indexed="8"/>
        <rFont val="Times New Roman"/>
        <family val="1"/>
      </rPr>
      <t xml:space="preserve"> sipas Artikujve Ekonomikë</t>
    </r>
  </si>
  <si>
    <r>
      <t xml:space="preserve">Kujdes!! </t>
    </r>
    <r>
      <rPr>
        <i/>
        <sz val="8"/>
        <rFont val="Times New Roman"/>
        <family val="1"/>
      </rPr>
      <t>Në format mund të shtohen rreshta për të reflektuar të gjitha produktet e programit. Formati ka formula, të cilat duhen përditësuar sipas llogjikës së paraqitur më sipër.</t>
    </r>
  </si>
  <si>
    <t>Fonde per IAL publike+te ardhurat +Fondet per kerkim shkencor  ne 000 lekë.</t>
  </si>
  <si>
    <t>Fonde pwr kwrkues (Fonde grant +Te ardhurat)</t>
  </si>
  <si>
    <t>Viti 2019</t>
  </si>
  <si>
    <t>Viti 2020</t>
  </si>
  <si>
    <t>Vendim nr. 710, datë 1.12.2017 për miratimin e strategjisë kombëtare për shkencën, teknologjinë dhe inovacionin, 2017-2022</t>
  </si>
  <si>
    <t>Rritja e investimeve për SHTI bazuar në fondet publike dhe burime të tjera alternative deri në 1% të GDP. Financimi i Programe Kombetare/Nderkombetare te Bashkepunimit Shkencor e Teknologjik te mbeshtetura financiarisht.</t>
  </si>
  <si>
    <t xml:space="preserve">Rritja e investimeve për SHTI bazuar në fondet publike dhe burime të tjera alternative deri në 1% të GDP. Zgjerimi i bashkëpunimit  të Universiteteve me biznesin privat në Programet Kombëtare të Kërkimit dhe Zhvillimit nëpërmjet organizimit të seminareve dhe takimeve informuese në IAL mbi Programet Kombëtare dhe Ndërkombëtare </t>
  </si>
  <si>
    <t xml:space="preserve">Granti i punës kërkimore-shkencore dhe veprimtarive krijuese, përfshin fondet për kërkimin shkencor. Ky grant është i hapur, për konkurimim/aplikim për të gjitha institucionet e arsimit të lartë të akredituara që zhvillojnë kërkim shkencor. Përzgjedhja dhe vlerësimi dhe financimi i projekteve kombëtare të kërkim-zhvillimit nga AKKSHI brenda 3-mujorit të parë të cdo viti ushtrimor.
Rritja me 30 % e financimit të projekteve kombëtare të kërkim zhvillimit që drejtohen nga kërkuese femra dhe Doktoraturave të fushave prioritare të kërkimit, </t>
  </si>
  <si>
    <r>
      <t>Krijimin e një sistemi të përshtatshëm, efektiv dhe efiçient të MFK-së konform standardet ligjore, nëpërmjet menaxhimit me bazë performance,</t>
    </r>
    <r>
      <rPr>
        <b/>
        <i/>
        <sz val="10"/>
        <rFont val="Times New Roman"/>
        <family val="1"/>
      </rPr>
      <t xml:space="preserve"> për një arsim gjithëpërfshirës dhe cilësor, rini sa me aktive në jetën social-ekonomike të vendit dhe sport cilësor, që mundëson një jetesë të shëndetshme.</t>
    </r>
    <r>
      <rPr>
        <sz val="10"/>
        <rFont val="Times New Roman"/>
        <family val="1"/>
      </rPr>
      <t xml:space="preserve"> Vendosja e  mekanizmave  transparente te monitorimit e llogaridhenie. Përgatitja e akteve ligjore e nënligjore të sistemit arsimor në përputhje me legjislacionin shqiptar e zhvillimin e tij sipas vlerave të përbashkëtata të sistemeve bashkohore. Implementimi i stategjive kombëtare.</t>
    </r>
  </si>
  <si>
    <t>Numri i grave / vajzave pjese e trupës akademike, pedagogë të brendshëm në IAL publike.</t>
  </si>
  <si>
    <t>x</t>
  </si>
  <si>
    <t>Numri i grave / vajzave pjese e trupës akademike, pedagogë të brendshëm dhe pedagogë të jashtëm në IAL publike.</t>
  </si>
  <si>
    <t xml:space="preserve"> Numri i grave , vajzave qe kane perfituar fonde ne kete program  (synimi raportin 7 kërkues për cdo 1000 të punësuar në vitin 2020).</t>
  </si>
  <si>
    <t xml:space="preserve">Numri i projekteve tw financuara, nw  bashkëpunim  me Universitetet dhe biznesin. </t>
  </si>
  <si>
    <t xml:space="preserve">Numri I kwrkuesve shkencore qw kanw pwrfituar mbwshtetje financiare </t>
  </si>
  <si>
    <t>Platforma  www.praktikat.gov.al  te jetë praktike dhe e aksesueshme, ku të rinjtë do të aplikojnë për praktikë</t>
  </si>
  <si>
    <t>Zhvillimi i programeve trainuese në sistemin sportiv kombëtar në funksion të rrijes së kapaciteteve në fushën e sportit, trajnime çdo vit për 20-25% e stafet teknike të sistemit sportiv kombëtar (732 teknike-trainerë,specialistë, instruktorë, mjekë etj)</t>
  </si>
  <si>
    <t xml:space="preserve">Fondet per investime per krijimin e kushteve te punes, ne 000 leke </t>
  </si>
  <si>
    <t xml:space="preserve">Fonde investime per punonjes per krijimine kushteve te punes, ne 000 leke </t>
  </si>
  <si>
    <t xml:space="preserve">Trajnimi  i punonjësve/specialistëve me qëllim zhvillimi i kapaciteteve planifikuese dhe menaxhuese, nëpërmjet programeve trajnuese dhe zhvilluese  per 15-18%  të punonjësve në MAS, njësive arsimore vendore dhe institucioneve arsimore për 100-120 punonjës, në vit . </t>
  </si>
  <si>
    <t>Drejtuesve  të institucioneve arsimore të trajnuar si menaxhere te shkolles. Trajnim cdo vit per 80-100 Drejtore te shkolles  për realizimin e autonomisë së institucioneve arsimore/shkollës në funksion të decentralizimi i shërbimit arsimor, si dhe rritjes të autonomisë së shkollave duke fuqizuar kapacitetet planifikuese dhe menaxhuese në shkollë,  në përputhje me parimet e barazise gjinore.</t>
  </si>
  <si>
    <t>Drejtuesve  të institucioneve arsimore të trajnuar si menaxhere te shkolles. Trajnim cdo vit per 80-100 drejtore te shkolles   për realizimin e autonomisë së institucioneve arsimore/shkollës në funksion të decentralizimi i shërbimit arsimor, si dhe rritjes të autonomisë së shkollave duke fuqizuar kapacitetet planifikuese dhe menaxhuese në shkollë,  në përputhje me parimet e barazise gjinore.</t>
  </si>
  <si>
    <t>Krijimi i kushteve te punes per punonjesit ne MAS,DAR/ZA, me synim përdorimin me eficensë dhe efektivitetit në punë të burimeve njerëzore,  për realizimin e kërkesave ligjore dhe implementimin e strategjive në arsim.</t>
  </si>
  <si>
    <t>Vleresimi i punes se punonjesve ne MAS,DAR/ZA mbeshtetur ne pershkrimin e punes dhe performancen e vleresimit, pagesa e pagave te punes mbeshtetur dhe ne vleresimin vjetor. me synim përdorimin me eficensë dhe efektivitetit në punë të burimeve njerëzore, dhe krijimin e një sistemi të përshtatshëm, efektiv dhe efiçient të MFK-së për realizimin e kërkesave ligjore d.</t>
  </si>
  <si>
    <t xml:space="preserve">Projekte tw financuara, nw  bashkëpunim  me Universitetet dhe biznesin. </t>
  </si>
  <si>
    <t xml:space="preserve">Numri i projekteve tw financuara, nw  bashkëpunim  me Universitetet dhe biznesin do te fiancohet nga Granti i punës kërkimore-shkencore dhe veprimtarive krijuese, përfshin fondet për kërkimin shkencor.
 Ky grant është i hapur, për konkurimim/aplikim për të gjitha institucionet e arsimit të lartë të akredituara që zhvillojnë kërkim shkencor. Përzgjedhja dhe vlerësimi dhe financimi i projekteve kombëtare të kërkim-zhvillimit nga AKKSHI brenda 3-mujorit të parë të cdo viti ushtrimor.
Rritja me 30 % e financimit të projekteve kombëtare të kërkim zhvillimit që drejtohen nga kërkuese femra dhe Doktoraturave të fushave prioritare të kërkimit, </t>
  </si>
  <si>
    <t>*Fonde Grant per kerkim shkencor  ne 000 lekë.</t>
  </si>
  <si>
    <t>*Numri i kerkuesve qe kane perfituar financim</t>
  </si>
  <si>
    <r>
      <t xml:space="preserve">*Fonde pwr kwrkues (Fonde grant ), </t>
    </r>
    <r>
      <rPr>
        <b/>
        <i/>
        <sz val="8"/>
        <color theme="1"/>
        <rFont val="Times New Roman"/>
        <family val="1"/>
      </rPr>
      <t>ne 000 lekë</t>
    </r>
  </si>
  <si>
    <t>Fonde pwr kapitale per kwrkues (Fonde grant )</t>
  </si>
  <si>
    <t>Kosto e financimit vjetor per student (në mijë lekë)</t>
  </si>
  <si>
    <t>Arsimi cilësor dhe gjithëpërfshirës me synim plotësimin e standardeve  europiane. Rritja e aksesit të grupmoshës 3-5 vjeç me synim që 90-95% të ndjekë AP dhe 100% fëmijëve 5-6 vjeçarë ;  Rritja e viteve të shkollimit, nwpwrmjet tërheqia në AB 100% e  fëmijëve romë/egjiptiane dhe me AK në AB, si dhe ulja e numrit të nxënësve që braktisin shkollën në AB.  Rritja e cilësisë së mësimdhënies, nëpërmjet trajnimit çdo vit të 20-25% i mësuesve në AB dhe rreth 80 -100 mësuesve nga diaspora, ndërtimit reabilitimit/rindwrtimit tw kopshteve, shkollave sipas standardeve europiane me qëllim që të sigurohet standardi 3.5 - 5 m2  për nxënës, sigurimi i standardeve mjedisore, numri i nxënësve për klasë në zonat urbane të jetë  jo më shumë se 30-32 nxënës, pajisja e shkollave me laborator mwsimorw  didaktikw, rritja e fondit tw bibliotekave për kurrikulën e AB. Shtrirja dhe përmirësimi i shërbimit të punonjësit social dhe psikologut sipas standardeve të krahasuara me ato të vendeve të zhvilluara.</t>
  </si>
  <si>
    <t xml:space="preserve">FORMAT 2. : FORMATI STANDARD I PËRGATITJES SË KËRKESAVE BUXHETORE PBA 2019-2021 </t>
  </si>
  <si>
    <t>Politikat Ekzistuese (kerkesat ligjore, strategjike)</t>
  </si>
  <si>
    <t>Të sigurohet rritja e aksesit të fëmijëve në arsimin parashkollor në nivelin 86% e grupmoshës 3-6 vjeç, me synim që grupmosha 5-6 vjec të arrijnë në 95%.  Reformimi  i arsimit parashkollor, përmes miratimit te korrnizes se re kurrikulare dhe programeve per cdo grupmoshe per arsimin parashkollor, trajnimit të 900-1000 mësuesve/ edukatorëve (15-20% në vit), rikonstruksionit dhe ndërtimit (100-120 klasa në vit) të kopshteve dhe pajisjes me materiale didaktike.</t>
  </si>
  <si>
    <r>
      <rPr>
        <b/>
        <sz val="8"/>
        <color theme="1"/>
        <rFont val="Garamond"/>
        <family val="1"/>
      </rPr>
      <t>Nxwnws tw pajisur me tekste shkollore, tw arsimit 9- vjecar,</t>
    </r>
    <r>
      <rPr>
        <sz val="8"/>
        <color theme="1"/>
        <rFont val="Garamond"/>
        <family val="1"/>
      </rPr>
      <t xml:space="preserve"> ku kanw pwrparwsi dhwnia falas e teksteve shkollore nxenesve te shtresat sociale ne nevoje  per nxenes me kerkesa te vecanta, nxenes qe nuk shikojne , nxenes nuk degjojne, nxenes me PLM, rome, egjiptiane, si dhe të fëmijëve që ndjekin studimet në klasën parë deri në klasën pestë. </t>
    </r>
  </si>
  <si>
    <r>
      <rPr>
        <b/>
        <sz val="8"/>
        <color theme="1"/>
        <rFont val="Garamond"/>
        <family val="1"/>
      </rPr>
      <t>Nxwnws tw pajisur me tekste shkollore, tw arsimit 9- vjecar,</t>
    </r>
    <r>
      <rPr>
        <sz val="8"/>
        <color theme="1"/>
        <rFont val="Garamond"/>
        <family val="1"/>
      </rPr>
      <t xml:space="preserve"> kompesimi  i nxenesve te shtresat sociale ne nevoje  per nxenes me kerkesa te vecanta, nxenes qe nuk shikojne , nxenes nuk degjojne, nxenes me PLM, rome, egjiptiane etj, dhënia falas e teksteve shkollore të fëmijëve që ndjekin studimet në klasën parë deri në klasën pestë. </t>
    </r>
  </si>
  <si>
    <r>
      <rPr>
        <b/>
        <sz val="9"/>
        <color theme="1"/>
        <rFont val="Garamond"/>
        <family val="1"/>
      </rPr>
      <t>Sigurimi i një arsimi cilësor dhe gjitheperfshires</t>
    </r>
    <r>
      <rPr>
        <sz val="9"/>
        <color theme="1"/>
        <rFont val="Garamond"/>
        <family val="1"/>
      </rPr>
      <t xml:space="preserve">. Rritja e treguesit të regjistrimit me 25%  për nxënësit romë egjiptianë, 10% për nxënësit me  AK, si dhe nga familje me te ardhura  në nivelin e varfërisë. Rritja me 20 % e numrit të mësuesve ndihmes për nxënësit me AK.Ngritja dhe fuksionimi  prane DAR/ZA i Komisioneve Multidisiplinare per femijet me AK. </t>
    </r>
  </si>
  <si>
    <t xml:space="preserve"> Mwsues tw trajnuar ; Trajnimi i 12.000 mësuesve te klasa 4 dhe klasës 9 ( trajnimi 25% te mësueseve të AB) per kurrikulen e re. Në trajnimin për kurrikulën e re përfshihet dhe trajnimi i 40 mësuesve të minoriteteve,  si dhe 200 mesues ndihmes per fëmijët me AK. Trajnimi i 80 mësuesve të diasporës në seminarin mbarëkombëtar për mësuesit e diasporës.</t>
  </si>
  <si>
    <r>
      <t xml:space="preserve">Kalimi në sistemin 9-vjeçar të arsimit bazë  ka krijuar vështirësi lidhur me mungesën e mjediseve dhe kapaciteteve ekzistuese për zhvillimin normal të mësimit. Gjithashtu  rritja numrit të nxënësve që frekuentojnë shkollat 9-vjecare dikton domosdoshmërinë e  krijimit të infrastrukturës së nevojshme  me ndërtimin e kapaciteteve të reja, në funksion të arritjes së objektivit për rritjen e cilësisë së mësimdhënies dhe mësimnxënies, për uljen e numrit të nxënësve për klasë etj  . </t>
    </r>
    <r>
      <rPr>
        <b/>
        <sz val="8"/>
        <color theme="1"/>
        <rFont val="Garamond"/>
        <family val="1"/>
      </rPr>
      <t>Heqjen e mesimdhenies te turneve te dyta ne disa qytete ne Tirane dhe ne Rrethe.</t>
    </r>
    <r>
      <rPr>
        <sz val="8"/>
        <color theme="1"/>
        <rFont val="Garamond"/>
        <family val="1"/>
      </rPr>
      <t xml:space="preserve">
Rritja e kapaciteteve infrastrukturore në shkollat 9-vjecare duke qenë se në këtë nivel arsimimimi është i detyrueshëm si dhe për të krijuar mundësinë e frekuentimit dhe edukimit për gjithë nxënësit me njohuri arsimore bazë </t>
    </r>
  </si>
  <si>
    <r>
      <rPr>
        <b/>
        <sz val="8"/>
        <color theme="1"/>
        <rFont val="Garamond"/>
        <family val="1"/>
      </rPr>
      <t>Klasa dhe mjedise mesimore te ristrukturuara .
Reabilitimi i kopshteve dhe shkollave  per rritjen e aksesit të fëmijëve 5 vjeçar me 10% dhe fëmijëve 3-4 vjeçarë</t>
    </r>
    <r>
      <rPr>
        <sz val="8"/>
        <color theme="1"/>
        <rFont val="Garamond"/>
        <family val="1"/>
      </rPr>
      <t xml:space="preserve">. Rritja numrit të nxënësve që frekuentojnë shkollat 9-vjecare dikton domosdoshmërinë e  krijimit të infrastrukturës së nevojshme  me ndërtimin e kapaciteteve të reja, në funksion të arritjes së objektivit për rritjen e cilësisë së mësimdhënies dhe mësimnxënies, për uljen e numrit të nxënësve për klasë etj  . Heqjen e mesimdhenies te turneve te dyta ne disa qytete ne Tirane dhe ne Rrethe. </t>
    </r>
  </si>
  <si>
    <r>
      <rPr>
        <b/>
        <sz val="8"/>
        <color theme="1"/>
        <rFont val="Garamond"/>
        <family val="1"/>
      </rPr>
      <t>Klasa dhe mjedise mesimore te ristrukturuara .</t>
    </r>
    <r>
      <rPr>
        <sz val="8"/>
        <color theme="1"/>
        <rFont val="Garamond"/>
        <family val="1"/>
      </rPr>
      <t xml:space="preserve">
Reabilitimi i kopshteve dhe shkollave  per rritjen e aksesit të fëmijëve 5 vjeçar me 10% dhe fëmijëve 3-4 vjeçarë. Rritja e kapaciteteve infrastrukturore në shkollat 9-vjecare duke qenë se në këtë nivel arsimimimi është i detyrueshëm si dhe për të krijuar mundësinë e frekuentimit dhe edukimit për gjithë nxënësit me njohuri arsimore bazë </t>
    </r>
  </si>
  <si>
    <r>
      <t xml:space="preserve">Kalimi në sistemin 9-vjeçar të arsimit bazë  ka krijuar vështirësi lidhur me mungesën e mjediseve dhe kapaciteteve ekzistuese për zhvillimin normal të mësimit. Rritja numrit të nxënësve që frekuentojnë shkollat 9-vjecare dikton domosdoshmërinë e  krijimit të infrastrukturës së nevojshme  me ndërtimin e kapaciteteve të reja, në funksion të arritjes së objektivit për rritjen e cilësisë së mësimdhënies dhe mësimnxënies, për uljen e numrit të nxënësve për klasë etj  . </t>
    </r>
    <r>
      <rPr>
        <b/>
        <sz val="8"/>
        <color theme="1"/>
        <rFont val="Garamond"/>
        <family val="1"/>
      </rPr>
      <t>Heqjen e mesimdhenies te turneve te dyta ne disa qytete ne Tirane dhe ne Rrethe.</t>
    </r>
    <r>
      <rPr>
        <sz val="8"/>
        <color theme="1"/>
        <rFont val="Garamond"/>
        <family val="1"/>
      </rPr>
      <t xml:space="preserve">
</t>
    </r>
    <r>
      <rPr>
        <b/>
        <sz val="8"/>
        <color theme="1"/>
        <rFont val="Garamond"/>
        <family val="1"/>
      </rPr>
      <t>Njesite e Qeverisjes Vendore kane kwrkesa tw vazhdueshme çdo vit qe tejkalojnw me dy deri tre herw fondet e miratuara pwr investime nw Arsimin parauniversitar</t>
    </r>
    <r>
      <rPr>
        <sz val="8"/>
        <color theme="1"/>
        <rFont val="Garamond"/>
        <family val="1"/>
      </rPr>
      <t xml:space="preserve">, ndaj dhe rritje e fondeve do tw synojw nw rritja e kapaciteteve infrastrukturore në shkollat 9-vjecare duke qenë se në këtë nivel arsimimimi është i detyrueshëm si dhe për të krijuar mundësinë e frekuentimit dhe edukimit për gjithë nxënësit me njohuri arsimore bazë. </t>
    </r>
  </si>
  <si>
    <r>
      <t xml:space="preserve">Detajimi i Kostos Totale të </t>
    </r>
    <r>
      <rPr>
        <b/>
        <sz val="9"/>
        <color rgb="FFFF0000"/>
        <rFont val="Times New Roman"/>
        <family val="1"/>
      </rPr>
      <t>Produktit 1</t>
    </r>
    <r>
      <rPr>
        <b/>
        <sz val="9"/>
        <color theme="1"/>
        <rFont val="Times New Roman"/>
        <family val="1"/>
      </rPr>
      <t xml:space="preserve"> sipas Artikujve Ekonomikë</t>
    </r>
  </si>
  <si>
    <t>Ndertimi klasave mjediseve mesimore ne i shkollave/kopshteve te reja</t>
  </si>
  <si>
    <t>Nurmri i klasave te pajisura me mobilieri</t>
  </si>
  <si>
    <t xml:space="preserve">pagat+Sig </t>
  </si>
  <si>
    <t>Shpenz Korente</t>
  </si>
  <si>
    <t xml:space="preserve">Kapitale </t>
  </si>
  <si>
    <r>
      <t xml:space="preserve">Rritja aksesit në mënyrë që 98% e  nxënësve që përfundojnë arsimin e mesëm të ulët të kalojnë në arsimin e mesëm të lartë. </t>
    </r>
    <r>
      <rPr>
        <b/>
        <sz val="9"/>
        <color theme="1"/>
        <rFont val="Times New Roman"/>
        <family val="1"/>
      </rPr>
      <t>Përmirësimi i cilësisë së këtij shërbimi arsimor përmes zgjerimit të kapaciteteve infrastrukturore e rritjes së standardeve mjedisore të institucioneve arsimore</t>
    </r>
    <r>
      <rPr>
        <sz val="9"/>
        <color theme="1"/>
        <rFont val="Times New Roman"/>
        <family val="1"/>
      </rPr>
      <t xml:space="preserve">.  Riorganizimi i kurrikulave shkollore me bazë kompetencat dhe arritjet e nxënësve të AML. Promovimi i teknologjisë në edukim. Zhvillimi profesional i mësimdhënësve, sipas sistemit te ri për zhvillimin e vazhdueshme profesional. </t>
    </r>
  </si>
  <si>
    <t>Numri i nxenesve per mesues ne AM "Gjimnaze"</t>
  </si>
  <si>
    <t>Klasa te pajisura me mobileri, (klasa mesimore Institucione arsimore qe kane jane rindertuar apo ndertime te reja)</t>
  </si>
  <si>
    <t>Krijimi standardeve europiane nepermjet rehabilitimi infrastrukturor i 10-12% të klasave në gjimnazeve, rindërtimi apo shtesa  me 5%-8% i klasave të reja në zonat urbane. (çdo vit)</t>
  </si>
  <si>
    <t>Numri total i klasave të ndertuara, rindertuara dhe rehabilituara.</t>
  </si>
  <si>
    <t>Klasa te reja te ndertuara sipas standardeve europiane</t>
  </si>
  <si>
    <t>Rehabilitimi dhe zgjerimi i  shkollave ne arsimin mesem, me synim plotesimin e standarteve Europiane, 30-32 nxenes per klase, me synim zhvillimin e mesmit  vetem nga ora 08.00 deri ne oren 14.00 pa turne te dyta ne qytetet kryesore te vendit ku ka pasur levizje demografike si dhe rritjen te numrit te nxenesve ne arsimine mesem.</t>
  </si>
  <si>
    <t>Buxheti I rishikuar 
2018</t>
  </si>
  <si>
    <t>2018/2017</t>
  </si>
  <si>
    <t>2019/2018</t>
  </si>
  <si>
    <t>2020/2019</t>
  </si>
  <si>
    <t>2021/2020</t>
  </si>
  <si>
    <t>2021 /2018</t>
  </si>
  <si>
    <t>Ndertimi i  shkollave te reja  te mesme te  pergjithshme ne synim te plotesimit te standarteve europiane, 30 -32 nxenes per klase,  zhvillimin e mesmit  vetem nga ora 08.00 deri ne oren 14.00 pa turne te dyta ne qytetet kryesore te vendit ku ka pasur levizje demografike si dhe rritjen te numrit te nxenesve ne arsimine mesem.</t>
  </si>
  <si>
    <t>Kodi I programit</t>
  </si>
  <si>
    <t>B.Berat</t>
  </si>
  <si>
    <t>Rikonstruksion i shkolles  "Babe Dude Karbunara" + ndertim palestre, bashkia Berat</t>
  </si>
  <si>
    <t>B.Kucove</t>
  </si>
  <si>
    <t>ndertim i kopshtit nr.1, Lagja 11 shkurti, Kucove</t>
  </si>
  <si>
    <t>B.Polican</t>
  </si>
  <si>
    <t>Rikonstruksion i shkolles 9-vjecare "70 vjetori i Pavaresise"</t>
  </si>
  <si>
    <t>B.Klos</t>
  </si>
  <si>
    <t>Rikonstruksion i shkolles se mesme "Shaban Collaku"</t>
  </si>
  <si>
    <t xml:space="preserve">Rikonstruksion i shkollws 9-vjecare Cerruje </t>
  </si>
  <si>
    <t>B.Kukes</t>
  </si>
  <si>
    <t>Rikonstruksion i shkolles se mesme Bicaj</t>
  </si>
  <si>
    <t>Rikonstruksion i shkolles 9-vjecare, Kolosjan</t>
  </si>
  <si>
    <t>B.Tropoje</t>
  </si>
  <si>
    <t>Rikonstruksion  kopshti nr.1, lagja "Partizani", Bajram Curri</t>
  </si>
  <si>
    <t>Rikonstruksion i shkolles se mesme "Matosh Uka", NJA Fierze, tropoje</t>
  </si>
  <si>
    <t>B.Has</t>
  </si>
  <si>
    <t>Rikonstruksion i shkolles 9-vjecare Tregtan, njad. Fajza</t>
  </si>
  <si>
    <t>B.Kruje</t>
  </si>
  <si>
    <t>Ndertim i shkolles 9-vjecare "Vesel Brama" Kurcaj, NJA Nikel</t>
  </si>
  <si>
    <t>B.Durres</t>
  </si>
  <si>
    <t>Rindertim i shkolles "Jusuf Puka" Durres</t>
  </si>
  <si>
    <t>B.Shijak</t>
  </si>
  <si>
    <t>Ndertim kopesht me dreke+cerdhe , Bashkia Shijak</t>
  </si>
  <si>
    <t>Ndertim i ri i shkolles 9-vjecare "Adem Sabli", Borake, NjAd Xhafzotaj</t>
  </si>
  <si>
    <t>Ndertim i ri i shkolles 9-vjecare "Rilindja", fshati Sallmone, NjAd.Xhafzotaj</t>
  </si>
  <si>
    <t>Rikonstruksion i shkolles 9-vjecare+palester+ambjente te jashtme sportive "Lidhja e Prizerenit", Shijak</t>
  </si>
  <si>
    <t>Rikonstruksion i shkolles se mesme+palester+ambjente te jashtme sportive "16 Shtatori", Shijak</t>
  </si>
  <si>
    <t>Rikonstruksion i shkolles 9-vjecare+palester+ambjente te jashtme sportive "Petrit Llaftiu", Shijak</t>
  </si>
  <si>
    <t>B.Belsh</t>
  </si>
  <si>
    <t>Rikonstruksion shkolla e mesme "Sami Frasheri" Belsh</t>
  </si>
  <si>
    <t>B.Peqin</t>
  </si>
  <si>
    <t>Ndertim i shk. 9-vjecare Sheze, NJA Sheze</t>
  </si>
  <si>
    <t>B.Prrenjas</t>
  </si>
  <si>
    <t>Ndertim i shkolles se mesme (fshati Kotodesh dhe Urake)</t>
  </si>
  <si>
    <t>B.Elbasan</t>
  </si>
  <si>
    <t>Rikonstruksion i shkolles 9-vjecare "Jorgji Dilo" Elbasan</t>
  </si>
  <si>
    <t>Rikonstruksion i shkolles 9-vjecare "Sulejman Rramca", njad. Labinot</t>
  </si>
  <si>
    <t>B.Librazhd</t>
  </si>
  <si>
    <t>Rikonstruksion +shtese+ndertim palestre shkolla e mesme Polis, Gostime</t>
  </si>
  <si>
    <t>B.Lushnje</t>
  </si>
  <si>
    <t>Rikonstruksion i shkolles 9-vjecare "Hysen Xheka" +ambjente sportive, Nj.Ad. Karbunare</t>
  </si>
  <si>
    <t>Rikonstruksion i ambjenteve te shk. se bashkuar "Thanas Bozo"+palester, NjAd. Kolonje</t>
  </si>
  <si>
    <t>Rikonstruksion i shkolles 9-vjecare Karbunare e Vogel</t>
  </si>
  <si>
    <t>B. Roskovec</t>
  </si>
  <si>
    <t>Rikonstruksion I kopshtit Roskovec</t>
  </si>
  <si>
    <t>Rikonstruksion I shkolles 9-vjecare Velmisht</t>
  </si>
  <si>
    <t>B. Patos</t>
  </si>
  <si>
    <t>Rikonstruksion i shkolles se bashkuar "Mustafa Matohiti"</t>
  </si>
  <si>
    <t>B.Fier</t>
  </si>
  <si>
    <t>Rikonstruksion i shkolles 9-vjecare "Kozma Ndrecka", Rreth Libofshe</t>
  </si>
  <si>
    <t>rikonstruksion i shkolles 9-vjecare "Pinellopi Piro" Fier</t>
  </si>
  <si>
    <t>B. Mallakaster</t>
  </si>
  <si>
    <t>Ndertim i shkolles 9-vjecer "Gjok Doci", fshati Dames</t>
  </si>
  <si>
    <t>B.Memaliaj</t>
  </si>
  <si>
    <t>Rikonstruksion i kopshtit nr.1, Memaliaj</t>
  </si>
  <si>
    <t>B.Libohove</t>
  </si>
  <si>
    <t>Rikonstruksion i kopshtit te femijeve Libohove</t>
  </si>
  <si>
    <t>B.Permet</t>
  </si>
  <si>
    <t>Rikonstruksion i shk se mesme  1 Maji, Piskove</t>
  </si>
  <si>
    <t>B.Tepelene</t>
  </si>
  <si>
    <t>Rikonstruksion i shkolles 9-vjecare "Memo Nexhipi', fshati Dukaj (Fusha sportive)</t>
  </si>
  <si>
    <t>B.Maliq</t>
  </si>
  <si>
    <t>Rikonstruskion palestre dhe sistem ngrohje, ne shkollen se mesme, Maliq</t>
  </si>
  <si>
    <t>Shtese kati dhe Palester per shk. e bashkuar Pojan.</t>
  </si>
  <si>
    <t>Ndertim shkolla 9-vjecare, Zvirine</t>
  </si>
  <si>
    <t>Ndertim i kopshteve tip ne fshatrat Sovjan NJA Pirg, Sheqeras NJA Vreshtas, Drithas NJA Libonik</t>
  </si>
  <si>
    <t>B.Kolonje</t>
  </si>
  <si>
    <t>Rikonstruksion i shkolles se mesme te bashkuar "Mustafa Jashari", Mollas</t>
  </si>
  <si>
    <t>B.Korce</t>
  </si>
  <si>
    <t>Rikonstruksion i kopshtit nr.8, Korce</t>
  </si>
  <si>
    <t>Rikonstruksion shkolla9-vjecare "Nuci Naci" +shtese per palester+bodrum Korce</t>
  </si>
  <si>
    <t>B Devoll</t>
  </si>
  <si>
    <t>Rikonstruksion i shk 9-vjecare "Dritero Agolli "</t>
  </si>
  <si>
    <t>B.Malesi e Madhe</t>
  </si>
  <si>
    <t>Rikonstruksion i shkolles se bashkuar "Kole Martini", Dedaj,  M.Madhe</t>
  </si>
  <si>
    <t>B, Fush Arrez</t>
  </si>
  <si>
    <t>Rikonstruksion I shkolles 9-vjecare Firze</t>
  </si>
  <si>
    <t>B.Kavaje</t>
  </si>
  <si>
    <t>Ndertim i shkolles 9-vjecare Golem Kavaje</t>
  </si>
  <si>
    <t>B.Kamez</t>
  </si>
  <si>
    <t>Shkolla 9-vjecare "Halit Coka" Bathore Kamez</t>
  </si>
  <si>
    <t>Shkolla 9-vjecare "Kulla e Vorbsit" Laknas Kamez</t>
  </si>
  <si>
    <t>Shkolla 9-vjecare Paskuqan, Kamez</t>
  </si>
  <si>
    <t>Kopshti "Fushe Kerciku" Paskuqan, Kamez</t>
  </si>
  <si>
    <t>Kopshti "Babrru Qender" Paskuqan, Kamez</t>
  </si>
  <si>
    <t>Kopshti Paskuqan, Kamez</t>
  </si>
  <si>
    <t>Kopshti "Kulla e Vorbsit" Laknas Kamez</t>
  </si>
  <si>
    <t>Kopshti "Bathore nr.1", Kamez</t>
  </si>
  <si>
    <t>Kopshti "Frutikulture", Kamez</t>
  </si>
  <si>
    <t>Kopshti "Lagja Lure" Laknas Kamez</t>
  </si>
  <si>
    <t>B.Sarande</t>
  </si>
  <si>
    <t>Rikonstruksion i korpusit dhe vitalizimi i ambjenteve dhe terreneve sportive te shk. 9-vjecare "A.Sheme" Sarande</t>
  </si>
  <si>
    <t>B.Himare</t>
  </si>
  <si>
    <t>Shtese objekti i shkolles se mesme "Spiro Gjiknuri" dhe sistemim i oborrit perkates</t>
  </si>
  <si>
    <t>Rikonstruksion i plote i shkolles 9-vjecare "Niko Alesi" Qeparo</t>
  </si>
  <si>
    <t>Universiteti Bujqesor</t>
  </si>
  <si>
    <t>Ngritja e nje vreshti per qellime didaktike, eksperimentale dhe prodhimi ne Kampusin e UBT</t>
  </si>
  <si>
    <t>Universiteti "Luigj Gurakuqi" shkoder</t>
  </si>
  <si>
    <t>Rikonstruksion i godines se rektoratit te universitetit shkoder</t>
  </si>
  <si>
    <t>09451</t>
  </si>
  <si>
    <t>Universiteti i Sporteve Tirane</t>
  </si>
  <si>
    <t>Ndertim i shteses se palestres se gjimnastikes, ndertim i pishines</t>
  </si>
  <si>
    <t>09452</t>
  </si>
  <si>
    <t>Policia e Shtetit/Akademia e Sigurise se Policise</t>
  </si>
  <si>
    <t>Rehabilitim i godinave te Akademise Sigurise (rik. Godina ekzistuese+ndertim gonia te reja)</t>
  </si>
  <si>
    <t>09453</t>
  </si>
  <si>
    <t>Universiteti i Tiranes</t>
  </si>
  <si>
    <t>Rikonstruksion i godines B fakulteti ekonomik</t>
  </si>
  <si>
    <t>09454</t>
  </si>
  <si>
    <t>Universiteti "Aleksander Xhuvani" Elbasan</t>
  </si>
  <si>
    <t>Ndertim i godines Fakulteti Shkencave Humane (ish materniteti)</t>
  </si>
  <si>
    <t>09455</t>
  </si>
  <si>
    <t xml:space="preserve">2018 Buxheti </t>
  </si>
  <si>
    <t>PBA</t>
  </si>
  <si>
    <t xml:space="preserve">Gjendja aktuale jo e mirë dhe e amortizuar  përsa i takon pajisjeve ekzistuese  laboratorike si dhe ne disa raste mungesa e plote e tyre, kërkon kryerjen e investimit për përmirësimin e kushteve në procesin mësimor për pasojë  motivimin si të stafit mësimor në mësimdhënie ashtu edhe të nxënësve në procesin e mësimnxënies ne shkollat  9-vjecare ne te gjithe vendin.
Zëvendësimi i pajisjeve të amortizuara ekzistuese si dhe krijimi i laboratorëve te rinj te pajisur për krijimin e kushteve optimale si për mësuesit dhe për nxënësit, për rritjen e cilësisë në procesin mësimor .
</t>
  </si>
  <si>
    <r>
      <t xml:space="preserve">Detajimi i Kostos Totale të </t>
    </r>
    <r>
      <rPr>
        <b/>
        <sz val="14"/>
        <color rgb="FFFF0000"/>
        <rFont val="Garamond"/>
        <family val="1"/>
      </rPr>
      <t>Produktit 1</t>
    </r>
    <r>
      <rPr>
        <b/>
        <sz val="14"/>
        <color theme="1"/>
        <rFont val="Garamond"/>
        <family val="1"/>
      </rPr>
      <t xml:space="preserve"> sipas Artikujve Ekonomikë</t>
    </r>
  </si>
  <si>
    <r>
      <t xml:space="preserve">Detajimi i Kostos Totale të </t>
    </r>
    <r>
      <rPr>
        <b/>
        <sz val="14"/>
        <color rgb="FFFF0000"/>
        <rFont val="Garamond"/>
        <family val="1"/>
      </rPr>
      <t>Produktit 2</t>
    </r>
    <r>
      <rPr>
        <b/>
        <sz val="14"/>
        <color theme="1"/>
        <rFont val="Garamond"/>
        <family val="1"/>
      </rPr>
      <t xml:space="preserve"> sipas Artikujve Ekonomikë</t>
    </r>
  </si>
  <si>
    <r>
      <rPr>
        <b/>
        <sz val="12"/>
        <color indexed="8"/>
        <rFont val="Times New Roman"/>
        <family val="1"/>
      </rPr>
      <t xml:space="preserve">Sigurimi i cilësisë në AL </t>
    </r>
    <r>
      <rPr>
        <sz val="12"/>
        <color indexed="8"/>
        <rFont val="Times New Roman"/>
        <family val="1"/>
      </rPr>
      <t xml:space="preserve">në nivel institucional e të programeve të studimit sipas kritereve e standardeve ndërkombëtare të HEAL-it,  në përputhje me kërkesat e tregut lokal dhe kombëtar të punës. Akreditimi institucional në 100% të IAL-ve  të programeve të studimit. </t>
    </r>
    <r>
      <rPr>
        <b/>
        <sz val="12"/>
        <color indexed="8"/>
        <rFont val="Times New Roman"/>
        <family val="1"/>
      </rPr>
      <t>Të garantojë mundësi të barabarta</t>
    </r>
    <r>
      <rPr>
        <sz val="12"/>
        <color indexed="8"/>
        <rFont val="Times New Roman"/>
        <family val="1"/>
      </rPr>
      <t>, mbi bazën e meritës, për të gjithë individët që duan të ndjekin studimet në arsimin e lartë. Të bazojë sistemin e arsimit të lartë mbi parimin e konkurrencës së lirë mes institucioneve të arsimit të lartë, personelit akademik dhe studentëve. Për të garantuar aksesin në arsimin e lartë, sipas meritës, pavarësisht nga mundësitë financiare të individëve.</t>
    </r>
  </si>
  <si>
    <r>
      <t xml:space="preserve">Detajimi i Kostos Totale të </t>
    </r>
    <r>
      <rPr>
        <b/>
        <sz val="12"/>
        <color indexed="10"/>
        <rFont val="Times New Roman"/>
        <family val="1"/>
      </rPr>
      <t>Produktit B</t>
    </r>
    <r>
      <rPr>
        <b/>
        <sz val="12"/>
        <color indexed="8"/>
        <rFont val="Times New Roman"/>
        <family val="1"/>
      </rPr>
      <t xml:space="preserve"> sipas Artikujve Ekonomikë</t>
    </r>
  </si>
  <si>
    <r>
      <t xml:space="preserve">Detajimi i Kostos Totale të </t>
    </r>
    <r>
      <rPr>
        <b/>
        <sz val="12"/>
        <color indexed="10"/>
        <rFont val="Times New Roman"/>
        <family val="1"/>
      </rPr>
      <t>Produktit 1</t>
    </r>
    <r>
      <rPr>
        <b/>
        <sz val="12"/>
        <color indexed="8"/>
        <rFont val="Times New Roman"/>
        <family val="1"/>
      </rPr>
      <t xml:space="preserve"> sipas Artikujve Ekonomikë</t>
    </r>
  </si>
  <si>
    <t xml:space="preserve">Produktit B </t>
  </si>
  <si>
    <t>Programe te akredituara</t>
  </si>
  <si>
    <t xml:space="preserve">Realizimi i politikave të përfshirjes sociale dhe aksesit të gjërë në AL nëpërmjet skemës së mbështetjes financiare me bursa për kategoritë në nevojë, si dhe heqjen e barrierave arkitektonike në IAL. Fonde për mbështetjen e studenteve, janë parashikuar fonde për të mbuluar shpenzimet për bursat e studentëve nga  shtresat sociale në nevojë si dhe studentëve ekselencë në IAL publike në këtë grup shpenzimesh në shumën e parashikuar prej 400 milion lekë në vit. Ky fond u jep mundësinë 5000-6000 studentëve  për të ndjekur studimet në institucionet publike të arsimit të lartë, në një program të ciklit të parë, në një program të integruar të studimeve ose në një program të studimeve profesionale, kategori të caktuara të studentëve, të cilët nuk kanë mundësi financiare për të përballuar kostot e shkollimit.  Po kështu në vijim janë parashikuar fonde për të mbuluar shpenzimet e studentëve për akomodimin e studentëve në tetë “Shoqëritë e Trajtimit të studentëve në Tiranë dhe në Rrethe”, ku parashikohet të akomodohet rreth 8 mijë studentë, janë parashikuar 300 milion lekë në vit.
</t>
  </si>
  <si>
    <t>Krijimin e një sistemi të përshtatshëm, efektiv dhe efiçient të MFK-së konform standardet ligjore, përgatitja e akteve ligjore dhe nënligjore, për implement të planeve strategjike të arsimit me synim përdorimin me eficensë dhe efektivitetit në punë të burimeve njerëzore, nëpërmjet përmirësimit të kushteve të punës, rinovimit të paisjeve e aseteve të qëndrueshme  me 10% në vit, pajisjeve të zyrave, pajisje teknollogjike, rikonstruksionin/zgjerimit e objekteve ekzistuese.</t>
  </si>
  <si>
    <r>
      <t xml:space="preserve">Zhvillon politika që synojnë krijimin e mundësisë për çdo nxënës që përfundon arsimin bazë të regjistrohet në arsimin e mesëm të lartë. Rritja aksesit në mënyrë që 98% e  nxënësve që përfundojnë arsimin e mesëm të ulët të kalojnë në arsimin e mesëm të lartë. </t>
    </r>
    <r>
      <rPr>
        <b/>
        <sz val="12"/>
        <color theme="1"/>
        <rFont val="Times New Roman"/>
        <family val="1"/>
      </rPr>
      <t>Përmirësimi i cilësisë së këtij shërbimi arsimor përmes zgjerimit të kapaciteteve infrastrukturore e rritjes së standardeve mjedisore të institucioneve arsimore</t>
    </r>
    <r>
      <rPr>
        <sz val="12"/>
        <color theme="1"/>
        <rFont val="Times New Roman"/>
        <family val="1"/>
      </rPr>
      <t xml:space="preserve">.  Riorganizimi i kurrikulave shkollore me bazë kompetencat dhe arritjet e nxënësve të AML. Promovimi i teknologjisë në edukim. Zhvillimi profesional i mësimdhënësve, sipas sistemit te ri për zhvillimin e vazhdueshme profesional.  Hartimi dhe zbatimi i kurrikules së re në arsimin e mesëm. Mbështetja e zhvillimit profesional të mësuesve. Promovimi dhe zgjerimi i teknologjisë së informacionit dhe komunikimit në edukim. Zgjerimi i kapaciteteve infrastrukturore në institucionet shkollore të arsimit të mesëm..  Tërheqia në AML 98% e  fëmijëve që përfundojnë arsimin 9 vjeçar Tërheqja e shtresave romë/egjiptiane dhe me AK në AML, si dhe ulja e numrit të nxënësve që largohen nga shkolla në AML.  Rehabilitimi/ndërtimi ishkollave sipas standardeve me qëllim që të sigurohet standardi 3.5 - 5 m2  për nxënës, sigurimi i standardeve te numrit te nxënësve për klasë ku në zonat urbane të jetë  jo më shumë se 30-32 nxënës.  Rritja e cilësisë së mësimdhënies, nëpërmjet trajnimit çdo vit të 20-25% i mësuesve nëAML . Pajisja e shkollave me laborator shkencorë e IT. Shtrirja dhe përmirësimi i shërbimit të punonjësit social dhe psikologut sipas standardeve të krahasuara me ato të vendeve të zhvilluara.mësimdhënies, trajnimi i mësuesve. </t>
    </r>
  </si>
  <si>
    <r>
      <t xml:space="preserve">Detajimi i Kostos Totale të </t>
    </r>
    <r>
      <rPr>
        <b/>
        <sz val="12"/>
        <color indexed="10"/>
        <rFont val="Times New Roman"/>
        <family val="1"/>
      </rPr>
      <t>Produktit 2</t>
    </r>
    <r>
      <rPr>
        <b/>
        <sz val="12"/>
        <color indexed="8"/>
        <rFont val="Times New Roman"/>
        <family val="1"/>
      </rPr>
      <t xml:space="preserve"> sipas Artikujve Ekonomikë</t>
    </r>
  </si>
  <si>
    <r>
      <t xml:space="preserve">Detajimi i Kostos Totale të </t>
    </r>
    <r>
      <rPr>
        <b/>
        <sz val="12"/>
        <color indexed="10"/>
        <rFont val="Times New Roman"/>
        <family val="1"/>
      </rPr>
      <t>Produktit 4</t>
    </r>
    <r>
      <rPr>
        <b/>
        <sz val="12"/>
        <color indexed="8"/>
        <rFont val="Times New Roman"/>
        <family val="1"/>
      </rPr>
      <t xml:space="preserve"> sipas Artikujve Ekonomikë</t>
    </r>
  </si>
  <si>
    <r>
      <t xml:space="preserve">Detajimi i Kostos Totale të </t>
    </r>
    <r>
      <rPr>
        <b/>
        <sz val="12"/>
        <color indexed="10"/>
        <rFont val="Times New Roman"/>
        <family val="1"/>
      </rPr>
      <t>Produktit 3</t>
    </r>
    <r>
      <rPr>
        <b/>
        <sz val="12"/>
        <color indexed="8"/>
        <rFont val="Times New Roman"/>
        <family val="1"/>
      </rPr>
      <t xml:space="preserve"> sipas Artikujve Ekonomikë</t>
    </r>
  </si>
  <si>
    <r>
      <t xml:space="preserve">Detajimi i Kostos Totale të </t>
    </r>
    <r>
      <rPr>
        <b/>
        <sz val="12"/>
        <color indexed="10"/>
        <rFont val="Times New Roman"/>
        <family val="1"/>
      </rPr>
      <t>Produktit X</t>
    </r>
    <r>
      <rPr>
        <b/>
        <sz val="12"/>
        <color indexed="8"/>
        <rFont val="Times New Roman"/>
        <family val="1"/>
      </rPr>
      <t xml:space="preserve"> sipas Artikujve Ekonomikë</t>
    </r>
  </si>
  <si>
    <r>
      <t xml:space="preserve">Synimi kryesor politik i programit është që sistemi i kërkimit shkencor t'i përgjigjet me besim të lartë sfidave të së ardhmes si çështjeve të mjedisit, mungesës së burimeve, cështjeve të shëndetit publik, të kohesionit social si dhe drejt zhvillimeve globale dhe integrimit të Shqipërisë në Bashkimin Evropian. Rritja e investimeve për SHTI bazuar në fondet publike dhe burime të tjera alternative deri në 1% të GDP. Programi synon zgjerimin dhe rritjen e cilësisë së kërkimit shkencor në Shqipëri, </t>
    </r>
    <r>
      <rPr>
        <b/>
        <sz val="12"/>
        <color theme="1"/>
        <rFont val="Garamond"/>
        <family val="1"/>
      </rPr>
      <t>për të arritur në raportin 7 kërkues për cdo 1000 të punësuar në vitin 2020</t>
    </r>
    <r>
      <rPr>
        <sz val="12"/>
        <color theme="1"/>
        <rFont val="Garamond"/>
        <family val="1"/>
      </rPr>
      <t>. Integrimi i kërkimin shkencor shqiptar në Hapësirën Evropiane të Kërkimit (ERA) numri i aplikimeve nga programet bilaterale dhe Programin Horizon 2020  të rritet me 10% në vit, dhe orientuar kërkimin shkencor kah nevojave të tregut nëpërmjet forcimit të lidhjeve të Programeve Kombëtarë dhe Ndërkombëtarë me biznesin privat.</t>
    </r>
  </si>
  <si>
    <r>
      <t xml:space="preserve">Detajimi i Kostos Totale të </t>
    </r>
    <r>
      <rPr>
        <b/>
        <sz val="12"/>
        <color indexed="10"/>
        <rFont val="Garamond"/>
        <family val="1"/>
      </rPr>
      <t>Produktit B</t>
    </r>
    <r>
      <rPr>
        <b/>
        <sz val="12"/>
        <color indexed="8"/>
        <rFont val="Garamond"/>
        <family val="1"/>
      </rPr>
      <t xml:space="preserve"> sipas Artikujve Ekonomikë</t>
    </r>
  </si>
  <si>
    <r>
      <t xml:space="preserve">Detajimi i Kostos Totale të </t>
    </r>
    <r>
      <rPr>
        <b/>
        <sz val="12"/>
        <color indexed="10"/>
        <rFont val="Garamond"/>
        <family val="1"/>
      </rPr>
      <t>Produktit 1</t>
    </r>
    <r>
      <rPr>
        <b/>
        <sz val="12"/>
        <color indexed="8"/>
        <rFont val="Garamond"/>
        <family val="1"/>
      </rPr>
      <t xml:space="preserve"> sipas Artikujve Ekonomikë</t>
    </r>
  </si>
  <si>
    <r>
      <t xml:space="preserve">Detajimi i Kostos Totale të </t>
    </r>
    <r>
      <rPr>
        <b/>
        <sz val="12"/>
        <color indexed="10"/>
        <rFont val="Garamond"/>
        <family val="1"/>
      </rPr>
      <t>Produktit 2</t>
    </r>
    <r>
      <rPr>
        <b/>
        <sz val="12"/>
        <color indexed="8"/>
        <rFont val="Garamond"/>
        <family val="1"/>
      </rPr>
      <t xml:space="preserve"> sipas Artikujve Ekonomikë</t>
    </r>
  </si>
  <si>
    <t>2018 Buxheti</t>
  </si>
  <si>
    <t>2019 PBA</t>
  </si>
  <si>
    <t>2020 PBA</t>
  </si>
  <si>
    <t>2021 PBA</t>
  </si>
  <si>
    <r>
      <t>Detajimi i Kostos Totale të</t>
    </r>
    <r>
      <rPr>
        <b/>
        <sz val="12"/>
        <color indexed="10"/>
        <rFont val="Times New Roman"/>
        <family val="1"/>
      </rPr>
      <t xml:space="preserve"> Produktit X </t>
    </r>
    <r>
      <rPr>
        <b/>
        <sz val="12"/>
        <color indexed="8"/>
        <rFont val="Times New Roman"/>
        <family val="1"/>
      </rPr>
      <t>sipas Artikujve Ekonomikë</t>
    </r>
  </si>
  <si>
    <r>
      <t xml:space="preserve">Detajimi i Kostos Totale të </t>
    </r>
    <r>
      <rPr>
        <b/>
        <sz val="12"/>
        <color indexed="10"/>
        <rFont val="Times New Roman"/>
        <family val="1"/>
      </rPr>
      <t xml:space="preserve">Produktit 4 </t>
    </r>
    <r>
      <rPr>
        <b/>
        <sz val="12"/>
        <color indexed="8"/>
        <rFont val="Times New Roman"/>
        <family val="1"/>
      </rPr>
      <t>sipas Artikujve Ekonomikë</t>
    </r>
  </si>
  <si>
    <r>
      <t xml:space="preserve">Nr.pjesëmarrja e organizatave rinore në </t>
    </r>
    <r>
      <rPr>
        <sz val="12"/>
        <color indexed="8"/>
        <rFont val="Times New Roman"/>
        <family val="1"/>
      </rPr>
      <t xml:space="preserve">projekteve rajonale, kombetare  RYCO, etj dhe të BE (ERAZMUS +, etj), </t>
    </r>
  </si>
  <si>
    <t>Platforma www.praktikat.gov.al  te jetë praktike dhe e aksesueshme, ku të rinjtë do të aplikojnë për praktikë</t>
  </si>
  <si>
    <t>Krijimi i platformës www.praktika.gov.al</t>
  </si>
  <si>
    <r>
      <rPr>
        <b/>
        <sz val="12"/>
        <rFont val="Times New Roman"/>
        <family val="1"/>
      </rPr>
      <t>Misioni i Ministrisë së Arsimit Sportit dhe Rinisë është të sigurojë:</t>
    </r>
    <r>
      <rPr>
        <sz val="12"/>
        <rFont val="Times New Roman"/>
        <family val="1"/>
      </rPr>
      <t xml:space="preserve"> 
Krijimin e një sistemi arsimor që ka në qendër nxënësit me nevojat dhe interesat e tyre,  të krijojë kushte dhe mundësi që nxënësit të ndërtojnë dhe zhvillojnë njohuri, shkathtësi, qëndrime dhe vlera që kërkon shoqëria. Nxënësit të zhvillohen në mënyrë të pavarur e të gjithanshme, të kontribuojnë në ndërtimin e mirëqenies vetjake dhe të shoqërisë shqiptare dhe të përballen në mënyrë të përshtatshme dhe konstruktive me sfidat e jetës dhe mjedisit global. Edukimin e vlerave demokratike e kombëtare dhe zotërimin e njohurive dhe shprehive për ekonominë moderne të tregut;  Edukim të mbështetur në të drejtat e njeriut në përgjithësi dhe të fëmijëve në veçanti;  edukim cilësor;  sipas nevojave dhe interesave të individit, komunitetit dhe shoqërisë në përgjithësi. Sipas standardeve evropiane; Arsimim bazë për të gjithë;  Barazi të shanseve për arsimim për të gjithë qytetarët e Republikës së Shqipërisë;  Mekanizmat e përgjegjshmërisë së shërbimit arsimor ndaj klientëve të drejtpërdrejt dhe shoqërisë civile në tërësi;
Sigurimi dhe mbrojtja e të drejtave të shtetasve, që merren me edukim fizik dhe sport, në përputhje me Kartën Evropiane të Sportit dhe me rekomandimet e organizatave ndërkombëtare në këtë fushë. Ridimensionimi i edukimit fizik dhe sportiv si pjesë përbërëse e programit të edukimit të nxënësve dhe studentëve në institucionet arsimore.  Të përmirsojmë cilësinë e jetës së të rinjve, përmes  rritjes së pjesëmarrjes së tyre aktivitete rinore, në punësim, në informim, në edukim dhe në vendimarrje.
</t>
    </r>
    <r>
      <rPr>
        <b/>
        <sz val="12"/>
        <rFont val="Times New Roman"/>
        <family val="1"/>
      </rPr>
      <t>Arsimi i lartë është e mirë dhe përgjegjësi publike dhe ka për mision</t>
    </r>
    <r>
      <rPr>
        <sz val="12"/>
        <rFont val="Times New Roman"/>
        <family val="1"/>
      </rPr>
      <t xml:space="preserve">, a) të krijojë, të zhvillojë, të përcjellë dhe të mbrojë dijet përmes mësimdhënies, kërkimit shkencor, si dhe të nxisë e të zhvillojë artet, edukimin fizik dhe sportet; b) të formojë specialistë të lartë dhe të përgatisë shkencëtarë të rinj, në përputhje me prioritetet e zhvillimit të vendit, duke kontribuar në rritjen e standardeve të demokracisë në vend; c) të ofrojë mundësi të barabarta për të përfituar nga arsimi i lartë dhe të mësuarit gjatë të gjithë jetës; ç) të kontribuojë në zhvillimin ekonomik, social dhe kulturor në nivel kombëtar dhe rajonal, si dhe në forcimin e sigurisë publike dhe kombëtare; d) të mbështesë prioritetet strategjike dhe interesat e zhvillimit të vendit; dh) të integrojë mësimdhënien me kërkimin shkencor; e) të nxisë bashkëpunimin ndërkombëtar në fushën e arsimit të lartë.
Efektivitetin e administratës arsimore qendrore dhe të njësive të saj vartëse;  Efektivitetin dhe efiçencën e burimeve njerëzore në arsim;  Maksimizimin, efektivitetin dhe efiçiencën e burimeve financiare dhe materiale në arsim.
</t>
    </r>
  </si>
  <si>
    <t>Programi Buxhetor Afatmesem 2019-2021</t>
  </si>
  <si>
    <r>
      <t xml:space="preserve">Detajimi i Kostos Totale të </t>
    </r>
    <r>
      <rPr>
        <b/>
        <sz val="14"/>
        <color rgb="FFFF0000"/>
        <rFont val="Garamond"/>
        <family val="1"/>
      </rPr>
      <t>Produktit 4</t>
    </r>
    <r>
      <rPr>
        <b/>
        <sz val="14"/>
        <color theme="1"/>
        <rFont val="Garamond"/>
        <family val="1"/>
      </rPr>
      <t xml:space="preserve"> sipas Artikujve Ekonomikë</t>
    </r>
  </si>
  <si>
    <r>
      <t xml:space="preserve">Detajimi i Kostos Totale të </t>
    </r>
    <r>
      <rPr>
        <b/>
        <sz val="14"/>
        <color rgb="FFFF0000"/>
        <rFont val="Garamond"/>
        <family val="1"/>
      </rPr>
      <t>Produktit 5</t>
    </r>
    <r>
      <rPr>
        <b/>
        <sz val="14"/>
        <color theme="1"/>
        <rFont val="Garamond"/>
        <family val="1"/>
      </rPr>
      <t xml:space="preserve"> sipas Artikujve Ekonomikë</t>
    </r>
  </si>
  <si>
    <r>
      <t xml:space="preserve">Detajimi i Kostos Totale të </t>
    </r>
    <r>
      <rPr>
        <b/>
        <sz val="14"/>
        <color rgb="FFFF0000"/>
        <rFont val="Garamond"/>
        <family val="1"/>
      </rPr>
      <t>Produktit 6</t>
    </r>
    <r>
      <rPr>
        <b/>
        <sz val="14"/>
        <color theme="1"/>
        <rFont val="Garamond"/>
        <family val="1"/>
      </rPr>
      <t xml:space="preserve"> sipas Artikujve Ekonomikë</t>
    </r>
  </si>
  <si>
    <t>Arsimi cilësor dhe gjithëpërfshirës me synim plotësimin e standardeve  europiane. Rritja e aksesit të grupmoshës 3-5 vjeç me synim që 90-95% të ndjekë AP dhe 100% fëmijëve 5-6 vjeçarë ;  Rritja e viteve të shkollimit, nëpërmjet tërheqia në AB 100% e  fëmijëve romë/egjiptiane dhe me AK në AB, si dhe ulja e numrit të nxënësve që braktisin shkollën në AB.  Rritja e cilësisë së mësimdhënies, nëpërmjet trajnimit çdo vit të 20-25% i mësuesve në AB dhe rreth 80 -100 mësuesve nga diaspora, ndërtimit reabilitimit/rindërtimit të kopshteve, shkollave sipas standardeve europiane me qëllim që të sigurohet standardi 3.5 - 5 m2  për nxënës, sigurimi i standardeve mjedisore, numri i nxënësve për klasë në zonat urbane të jetë  jo më shumë se 30-32 nxënës, pajisja e shkollave me laborator mësimorë  didaktikë, rritja e fondit të bibliotekave për kurrikulën e AB. Shtrirja dhe përmirësimi i shërbimit të punonjësit social dhe psikologut sipas standardeve të krahasuara me ato të vendeve të zhvilluara.</t>
  </si>
  <si>
    <t>Numri i mësuesve ndihmës për AK të trajnuar</t>
  </si>
  <si>
    <t>Numri I parashikuar I nxënesve për nxënësit e gjithesej ne arsimin 9 vjecar Kl 1 -Kl 9</t>
  </si>
  <si>
    <t>Numri I mësuesve ndihmës për AK të emëruar</t>
  </si>
  <si>
    <t>% e nxënësve të cilëve ju sigurohet transporti</t>
  </si>
  <si>
    <t>Arsimi i Mesëm i Përgjithshëm "Gjimnazet".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</si>
</sst>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_(* \(#,##0\);_(* &quot;-&quot;_);_(@_)"/>
    <numFmt numFmtId="43" formatCode="_(* #,##0.00_);_(* \(#,##0.00\);_(* &quot;-&quot;??_);_(@_)"/>
    <numFmt numFmtId="164" formatCode="_-* #,##0.00_-;\-* #,##0.00_-;_-* &quot;-&quot;??_-;_-@_-"/>
    <numFmt numFmtId="165" formatCode="0.0%"/>
    <numFmt numFmtId="166" formatCode="#,##0.0"/>
    <numFmt numFmtId="167" formatCode="_(* #,##0_);_(* \(#,##0\);_(* &quot;-&quot;??_);_(@_)"/>
    <numFmt numFmtId="168" formatCode="_-* #,##0_-;\-* #,##0_-;_-* &quot;-&quot;??_-;_-@_-"/>
    <numFmt numFmtId="169" formatCode="_-* #,##0.0_-;\-* #,##0.0_-;_-* &quot;-&quot;??_-;_-@_-"/>
    <numFmt numFmtId="170" formatCode="0.0"/>
    <numFmt numFmtId="171" formatCode="#,##0.0#"/>
    <numFmt numFmtId="172" formatCode="_-* #,##0.0_-;\-* #,##0.0_-;_-* &quot;-&quot;?_-;_-@_-"/>
  </numFmts>
  <fonts count="16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b/>
      <sz val="9"/>
      <color theme="1"/>
      <name val="Garamond"/>
      <family val="1"/>
    </font>
    <font>
      <i/>
      <sz val="8"/>
      <color theme="1"/>
      <name val="Garamond"/>
      <family val="1"/>
    </font>
    <font>
      <sz val="9"/>
      <color theme="1"/>
      <name val="Garamond"/>
      <family val="1"/>
    </font>
    <font>
      <b/>
      <sz val="8"/>
      <color theme="1"/>
      <name val="Garamond"/>
      <family val="1"/>
    </font>
    <font>
      <sz val="10"/>
      <name val="Arial"/>
      <family val="2"/>
    </font>
    <font>
      <i/>
      <sz val="9"/>
      <color theme="1"/>
      <name val="Garamond"/>
      <family val="1"/>
    </font>
    <font>
      <b/>
      <i/>
      <sz val="9"/>
      <color theme="1"/>
      <name val="Garamond"/>
      <family val="1"/>
    </font>
    <font>
      <b/>
      <i/>
      <sz val="8"/>
      <color theme="1"/>
      <name val="Garamond"/>
      <family val="1"/>
    </font>
    <font>
      <b/>
      <sz val="10"/>
      <color theme="1"/>
      <name val="Garamond"/>
      <family val="1"/>
    </font>
    <font>
      <i/>
      <sz val="9"/>
      <color theme="1"/>
      <name val="Calibri"/>
      <family val="2"/>
      <scheme val="minor"/>
    </font>
    <font>
      <b/>
      <sz val="8"/>
      <color rgb="FFFF0000"/>
      <name val="Garamond"/>
      <family val="1"/>
    </font>
    <font>
      <b/>
      <i/>
      <sz val="9"/>
      <color rgb="FFFF0000"/>
      <name val="Garamond"/>
      <family val="1"/>
    </font>
    <font>
      <b/>
      <sz val="9"/>
      <color rgb="FFFF0000"/>
      <name val="Garamond"/>
      <family val="1"/>
    </font>
    <font>
      <sz val="8"/>
      <name val="Arial"/>
      <family val="2"/>
    </font>
    <font>
      <b/>
      <sz val="11"/>
      <color rgb="FFFF0000"/>
      <name val="Calibri"/>
      <family val="2"/>
      <scheme val="minor"/>
    </font>
    <font>
      <b/>
      <sz val="9"/>
      <name val="Garamond"/>
      <family val="1"/>
    </font>
    <font>
      <b/>
      <sz val="8"/>
      <name val="Arial"/>
      <family val="2"/>
    </font>
    <font>
      <sz val="12"/>
      <color theme="1"/>
      <name val="Calibri"/>
      <family val="2"/>
      <scheme val="minor"/>
    </font>
    <font>
      <sz val="12"/>
      <color theme="1"/>
      <name val="Garamond"/>
      <family val="1"/>
    </font>
    <font>
      <b/>
      <sz val="10"/>
      <color rgb="FFFF0000"/>
      <name val="Garamond"/>
      <family val="1"/>
    </font>
    <font>
      <sz val="9"/>
      <color indexed="81"/>
      <name val="Tahoma"/>
      <family val="2"/>
    </font>
    <font>
      <b/>
      <sz val="9"/>
      <color indexed="81"/>
      <name val="Tahoma"/>
      <family val="2"/>
    </font>
    <font>
      <b/>
      <sz val="10"/>
      <name val="Times New Roman"/>
      <family val="1"/>
    </font>
    <font>
      <sz val="10"/>
      <name val="Times New Roman"/>
      <family val="1"/>
    </font>
    <font>
      <sz val="10"/>
      <color theme="1"/>
      <name val="Calibri"/>
      <family val="2"/>
      <scheme val="minor"/>
    </font>
    <font>
      <b/>
      <sz val="10"/>
      <color theme="1"/>
      <name val="Calibri"/>
      <family val="2"/>
      <scheme val="minor"/>
    </font>
    <font>
      <i/>
      <sz val="10"/>
      <color theme="1"/>
      <name val="Garamond"/>
      <family val="1"/>
    </font>
    <font>
      <b/>
      <i/>
      <sz val="10"/>
      <color rgb="FFFF0000"/>
      <name val="Garamond"/>
      <family val="1"/>
    </font>
    <font>
      <b/>
      <sz val="10"/>
      <name val="Garamond"/>
      <family val="1"/>
    </font>
    <font>
      <b/>
      <i/>
      <sz val="10"/>
      <color theme="1"/>
      <name val="Garamond"/>
      <family val="1"/>
    </font>
    <font>
      <i/>
      <sz val="10"/>
      <color theme="1"/>
      <name val="Calibri"/>
      <family val="2"/>
      <scheme val="minor"/>
    </font>
    <font>
      <i/>
      <sz val="10"/>
      <name val="Calibri"/>
      <family val="2"/>
      <scheme val="minor"/>
    </font>
    <font>
      <b/>
      <i/>
      <sz val="10"/>
      <color rgb="FFFF0000"/>
      <name val="Calibri"/>
      <family val="2"/>
      <scheme val="minor"/>
    </font>
    <font>
      <b/>
      <sz val="10"/>
      <name val="Calibri"/>
      <family val="2"/>
      <scheme val="minor"/>
    </font>
    <font>
      <sz val="10"/>
      <name val="Arial"/>
      <family val="2"/>
      <charset val="238"/>
    </font>
    <font>
      <sz val="6"/>
      <name val="Times New Roman"/>
      <family val="1"/>
    </font>
    <font>
      <b/>
      <sz val="6"/>
      <name val="Times New Roman"/>
      <family val="1"/>
    </font>
    <font>
      <b/>
      <sz val="6"/>
      <color theme="1"/>
      <name val="Times New Roman"/>
      <family val="1"/>
    </font>
    <font>
      <sz val="6"/>
      <color theme="1"/>
      <name val="Times New Roman"/>
      <family val="1"/>
    </font>
    <font>
      <sz val="6"/>
      <color indexed="8"/>
      <name val="Times New Roman"/>
      <family val="1"/>
    </font>
    <font>
      <sz val="10"/>
      <color indexed="8"/>
      <name val="Arial"/>
      <family val="2"/>
    </font>
    <font>
      <sz val="6"/>
      <name val="Calibri"/>
      <family val="2"/>
      <scheme val="minor"/>
    </font>
    <font>
      <sz val="6"/>
      <color rgb="FF000000"/>
      <name val="Times New Roman"/>
      <family val="1"/>
    </font>
    <font>
      <i/>
      <sz val="6"/>
      <color indexed="8"/>
      <name val="Times New Roman"/>
      <family val="1"/>
    </font>
    <font>
      <b/>
      <sz val="10"/>
      <name val="Arial"/>
      <family val="2"/>
    </font>
    <font>
      <b/>
      <sz val="12"/>
      <name val="Arial"/>
      <family val="2"/>
    </font>
    <font>
      <b/>
      <sz val="8"/>
      <name val="Times New Roman"/>
      <family val="1"/>
    </font>
    <font>
      <sz val="8"/>
      <name val="Times New Roman"/>
      <family val="1"/>
    </font>
    <font>
      <sz val="8"/>
      <color theme="1"/>
      <name val="Times New Roman"/>
      <family val="1"/>
    </font>
    <font>
      <sz val="24"/>
      <color theme="1"/>
      <name val="Calibri"/>
      <family val="2"/>
      <scheme val="minor"/>
    </font>
    <font>
      <sz val="12"/>
      <name val="Times New Roman"/>
      <family val="1"/>
    </font>
    <font>
      <b/>
      <sz val="8"/>
      <name val="Garamond"/>
      <family val="1"/>
    </font>
    <font>
      <sz val="11"/>
      <name val="Times New Roman"/>
      <family val="1"/>
    </font>
    <font>
      <b/>
      <sz val="11"/>
      <name val="Times New Roman"/>
      <family val="1"/>
    </font>
    <font>
      <sz val="5"/>
      <color theme="1"/>
      <name val="Times New Roman"/>
      <family val="1"/>
    </font>
    <font>
      <sz val="5"/>
      <name val="Times New Roman"/>
      <family val="1"/>
    </font>
    <font>
      <b/>
      <sz val="5"/>
      <name val="Times New Roman"/>
      <family val="1"/>
    </font>
    <font>
      <sz val="5"/>
      <color indexed="8"/>
      <name val="Times New Roman"/>
      <family val="1"/>
    </font>
    <font>
      <i/>
      <sz val="5"/>
      <color indexed="8"/>
      <name val="Times New Roman"/>
      <family val="1"/>
    </font>
    <font>
      <sz val="5"/>
      <name val="Calibri"/>
      <family val="2"/>
      <scheme val="minor"/>
    </font>
    <font>
      <sz val="5"/>
      <color rgb="FF000000"/>
      <name val="Times New Roman"/>
      <family val="1"/>
    </font>
    <font>
      <b/>
      <sz val="5"/>
      <color theme="1"/>
      <name val="Times New Roman"/>
      <family val="1"/>
    </font>
    <font>
      <sz val="9"/>
      <name val="Times New Roman"/>
      <family val="1"/>
    </font>
    <font>
      <b/>
      <sz val="9"/>
      <name val="Times New Roman"/>
      <family val="1"/>
    </font>
    <font>
      <sz val="12"/>
      <name val="Arial"/>
      <family val="2"/>
    </font>
    <font>
      <sz val="8"/>
      <color rgb="FFFF0000"/>
      <name val="Times New Roman"/>
      <family val="1"/>
    </font>
    <font>
      <b/>
      <sz val="11"/>
      <name val="Arial"/>
      <family val="2"/>
    </font>
    <font>
      <sz val="11"/>
      <name val="Arial"/>
      <family val="2"/>
    </font>
    <font>
      <b/>
      <sz val="7"/>
      <name val="Times New Roman"/>
      <family val="1"/>
    </font>
    <font>
      <b/>
      <sz val="11"/>
      <color theme="1"/>
      <name val="Garamond"/>
      <family val="1"/>
    </font>
    <font>
      <b/>
      <sz val="12"/>
      <color theme="1"/>
      <name val="Garamond"/>
      <family val="1"/>
    </font>
    <font>
      <b/>
      <sz val="11"/>
      <name val="Calibri"/>
      <family val="2"/>
      <scheme val="minor"/>
    </font>
    <font>
      <b/>
      <sz val="12"/>
      <name val="Times New Roman"/>
      <family val="1"/>
    </font>
    <font>
      <sz val="9"/>
      <color theme="1"/>
      <name val="Times New Roman"/>
      <family val="1"/>
    </font>
    <font>
      <i/>
      <sz val="9"/>
      <color theme="1"/>
      <name val="Times New Roman"/>
      <family val="1"/>
    </font>
    <font>
      <b/>
      <i/>
      <sz val="9"/>
      <color rgb="FFFF0000"/>
      <name val="Times New Roman"/>
      <family val="1"/>
    </font>
    <font>
      <i/>
      <sz val="9"/>
      <name val="Times New Roman"/>
      <family val="1"/>
    </font>
    <font>
      <b/>
      <sz val="9"/>
      <color theme="1"/>
      <name val="Times New Roman"/>
      <family val="1"/>
    </font>
    <font>
      <b/>
      <sz val="9"/>
      <color rgb="FFFF0000"/>
      <name val="Times New Roman"/>
      <family val="1"/>
    </font>
    <font>
      <b/>
      <i/>
      <sz val="9"/>
      <color theme="1"/>
      <name val="Times New Roman"/>
      <family val="1"/>
    </font>
    <font>
      <b/>
      <sz val="9"/>
      <color indexed="10"/>
      <name val="Times New Roman"/>
      <family val="1"/>
    </font>
    <font>
      <b/>
      <sz val="9"/>
      <color indexed="8"/>
      <name val="Times New Roman"/>
      <family val="1"/>
    </font>
    <font>
      <sz val="10"/>
      <color theme="1"/>
      <name val="Times New Roman"/>
      <family val="1"/>
    </font>
    <font>
      <i/>
      <sz val="10"/>
      <color theme="1"/>
      <name val="Times New Roman"/>
      <family val="1"/>
    </font>
    <font>
      <b/>
      <i/>
      <sz val="10"/>
      <color rgb="FFFF0000"/>
      <name val="Times New Roman"/>
      <family val="1"/>
    </font>
    <font>
      <i/>
      <sz val="10"/>
      <name val="Times New Roman"/>
      <family val="1"/>
    </font>
    <font>
      <b/>
      <sz val="10"/>
      <color theme="1"/>
      <name val="Times New Roman"/>
      <family val="1"/>
    </font>
    <font>
      <b/>
      <sz val="10"/>
      <color rgb="FFFF0000"/>
      <name val="Times New Roman"/>
      <family val="1"/>
    </font>
    <font>
      <sz val="7"/>
      <name val="Times New Roman"/>
      <family val="1"/>
    </font>
    <font>
      <b/>
      <i/>
      <sz val="10"/>
      <color theme="1"/>
      <name val="Times New Roman"/>
      <family val="1"/>
    </font>
    <font>
      <b/>
      <sz val="10"/>
      <color indexed="10"/>
      <name val="Times New Roman"/>
      <family val="1"/>
    </font>
    <font>
      <b/>
      <sz val="10"/>
      <color indexed="8"/>
      <name val="Times New Roman"/>
      <family val="1"/>
    </font>
    <font>
      <sz val="10"/>
      <color indexed="8"/>
      <name val="Times New Roman"/>
      <family val="1"/>
    </font>
    <font>
      <b/>
      <sz val="10"/>
      <color indexed="81"/>
      <name val="Calibri"/>
      <family val="2"/>
    </font>
    <font>
      <sz val="10"/>
      <color indexed="81"/>
      <name val="Calibri"/>
      <family val="2"/>
    </font>
    <font>
      <b/>
      <i/>
      <sz val="9"/>
      <name val="Times New Roman"/>
      <family val="1"/>
    </font>
    <font>
      <b/>
      <i/>
      <sz val="9"/>
      <color indexed="8"/>
      <name val="Times New Roman"/>
      <family val="1"/>
    </font>
    <font>
      <b/>
      <sz val="9"/>
      <color indexed="9"/>
      <name val="Times New Roman"/>
      <family val="1"/>
    </font>
    <font>
      <sz val="9"/>
      <color rgb="FF1F497D"/>
      <name val="Times New Roman"/>
      <family val="1"/>
    </font>
    <font>
      <i/>
      <sz val="8"/>
      <color theme="1"/>
      <name val="Times New Roman"/>
      <family val="1"/>
    </font>
    <font>
      <b/>
      <i/>
      <sz val="8"/>
      <color theme="1"/>
      <name val="Times New Roman"/>
      <family val="1"/>
    </font>
    <font>
      <i/>
      <sz val="8"/>
      <name val="Times New Roman"/>
      <family val="1"/>
    </font>
    <font>
      <b/>
      <i/>
      <sz val="8"/>
      <name val="Times New Roman"/>
      <family val="1"/>
    </font>
    <font>
      <b/>
      <sz val="8"/>
      <color theme="1"/>
      <name val="Times New Roman"/>
      <family val="1"/>
    </font>
    <font>
      <b/>
      <sz val="8"/>
      <color indexed="10"/>
      <name val="Times New Roman"/>
      <family val="1"/>
    </font>
    <font>
      <b/>
      <sz val="8"/>
      <color indexed="8"/>
      <name val="Times New Roman"/>
      <family val="1"/>
    </font>
    <font>
      <b/>
      <i/>
      <sz val="8"/>
      <color rgb="FFFF0000"/>
      <name val="Garamond"/>
      <family val="1"/>
    </font>
    <font>
      <b/>
      <sz val="8"/>
      <color rgb="FFFF0000"/>
      <name val="Times New Roman"/>
      <family val="1"/>
    </font>
    <font>
      <b/>
      <i/>
      <sz val="8"/>
      <color rgb="FFFF0000"/>
      <name val="Times New Roman"/>
      <family val="1"/>
    </font>
    <font>
      <sz val="8"/>
      <color indexed="10"/>
      <name val="Times New Roman"/>
      <family val="1"/>
    </font>
    <font>
      <sz val="8"/>
      <color indexed="8"/>
      <name val="Times New Roman"/>
      <family val="1"/>
    </font>
    <font>
      <i/>
      <sz val="8"/>
      <color rgb="FFFF0000"/>
      <name val="Times New Roman"/>
      <family val="1"/>
    </font>
    <font>
      <b/>
      <i/>
      <sz val="10"/>
      <name val="Times New Roman"/>
      <family val="1"/>
    </font>
    <font>
      <i/>
      <sz val="10"/>
      <name val="Arial"/>
      <family val="2"/>
    </font>
    <font>
      <b/>
      <i/>
      <sz val="7"/>
      <name val="Times New Roman"/>
      <family val="1"/>
    </font>
    <font>
      <i/>
      <sz val="10"/>
      <color rgb="FFFF0000"/>
      <name val="Garamond"/>
      <family val="1"/>
    </font>
    <font>
      <b/>
      <sz val="12"/>
      <color theme="1"/>
      <name val="Calibri"/>
      <family val="2"/>
      <scheme val="minor"/>
    </font>
    <font>
      <b/>
      <i/>
      <sz val="12"/>
      <color theme="1"/>
      <name val="Garamond"/>
      <family val="1"/>
    </font>
    <font>
      <i/>
      <sz val="12"/>
      <color theme="1"/>
      <name val="Garamond"/>
      <family val="1"/>
    </font>
    <font>
      <b/>
      <sz val="12"/>
      <color rgb="FFFF0000"/>
      <name val="Garamond"/>
      <family val="1"/>
    </font>
    <font>
      <sz val="14"/>
      <color theme="1"/>
      <name val="Calibri"/>
      <family val="2"/>
      <scheme val="minor"/>
    </font>
    <font>
      <b/>
      <sz val="14"/>
      <color theme="1"/>
      <name val="Garamond"/>
      <family val="1"/>
    </font>
    <font>
      <sz val="14"/>
      <color theme="1"/>
      <name val="Garamond"/>
      <family val="1"/>
    </font>
    <font>
      <b/>
      <sz val="14"/>
      <color theme="1"/>
      <name val="Calibri"/>
      <family val="2"/>
      <scheme val="minor"/>
    </font>
    <font>
      <sz val="14"/>
      <name val="Arial"/>
      <family val="2"/>
    </font>
    <font>
      <b/>
      <sz val="14"/>
      <name val="Times New Roman"/>
      <family val="1"/>
    </font>
    <font>
      <b/>
      <sz val="14"/>
      <color rgb="FFFF0000"/>
      <name val="Garamond"/>
      <family val="1"/>
    </font>
    <font>
      <sz val="12"/>
      <color theme="1"/>
      <name val="Times New Roman"/>
      <family val="1"/>
    </font>
    <font>
      <b/>
      <sz val="12"/>
      <color theme="1"/>
      <name val="Times New Roman"/>
      <family val="1"/>
    </font>
    <font>
      <b/>
      <sz val="12"/>
      <color rgb="FFFF0000"/>
      <name val="Times New Roman"/>
      <family val="1"/>
    </font>
    <font>
      <sz val="12"/>
      <color indexed="8"/>
      <name val="Times New Roman"/>
      <family val="1"/>
    </font>
    <font>
      <b/>
      <sz val="12"/>
      <color indexed="8"/>
      <name val="Times New Roman"/>
      <family val="1"/>
    </font>
    <font>
      <b/>
      <sz val="12"/>
      <color indexed="10"/>
      <name val="Times New Roman"/>
      <family val="1"/>
    </font>
    <font>
      <i/>
      <sz val="12"/>
      <color theme="1"/>
      <name val="Times New Roman"/>
      <family val="1"/>
    </font>
    <font>
      <b/>
      <i/>
      <sz val="12"/>
      <color rgb="FFFF0000"/>
      <name val="Times New Roman"/>
      <family val="1"/>
    </font>
    <font>
      <b/>
      <i/>
      <sz val="12"/>
      <color theme="1"/>
      <name val="Times New Roman"/>
      <family val="1"/>
    </font>
    <font>
      <b/>
      <sz val="12"/>
      <color indexed="10"/>
      <name val="Garamond"/>
      <family val="1"/>
    </font>
    <font>
      <b/>
      <sz val="12"/>
      <color indexed="8"/>
      <name val="Garamond"/>
      <family val="1"/>
    </font>
    <font>
      <b/>
      <i/>
      <sz val="12"/>
      <color rgb="FFFF0000"/>
      <name val="Garamond"/>
      <family val="1"/>
    </font>
    <font>
      <b/>
      <sz val="12"/>
      <color indexed="9"/>
      <name val="Times New Roman"/>
      <family val="1"/>
    </font>
    <font>
      <sz val="12"/>
      <color rgb="FF1F497D"/>
      <name val="Times New Roman"/>
      <family val="1"/>
    </font>
    <font>
      <b/>
      <sz val="14"/>
      <name val="Garamond"/>
      <family val="1"/>
    </font>
    <font>
      <sz val="11"/>
      <name val="Calibri"/>
      <family val="2"/>
      <scheme val="min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0C0C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9"/>
        <bgColor indexed="64"/>
      </patternFill>
    </fill>
    <fill>
      <patternFill patternType="solid">
        <fgColor rgb="FFDAEEF3"/>
        <bgColor indexed="64"/>
      </patternFill>
    </fill>
    <fill>
      <patternFill patternType="solid">
        <fgColor rgb="FFD8E4BC"/>
        <bgColor indexed="64"/>
      </patternFill>
    </fill>
    <fill>
      <patternFill patternType="solid">
        <fgColor rgb="FFFFF2CC"/>
        <bgColor indexed="64"/>
      </patternFill>
    </fill>
    <fill>
      <patternFill patternType="solid">
        <fgColor rgb="FFFFFFFF"/>
        <bgColor indexed="64"/>
      </patternFill>
    </fill>
    <fill>
      <patternFill patternType="solid">
        <fgColor theme="8" tint="0.79998168889431442"/>
        <bgColor indexed="64"/>
      </patternFill>
    </fill>
    <fill>
      <patternFill patternType="solid">
        <fgColor rgb="FFEBF1DE"/>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indexed="22"/>
        <bgColor indexed="64"/>
      </patternFill>
    </fill>
    <fill>
      <patternFill patternType="solid">
        <fgColor theme="5" tint="0.39997558519241921"/>
        <bgColor indexed="64"/>
      </patternFill>
    </fill>
    <fill>
      <patternFill patternType="solid">
        <fgColor rgb="FFF2DCDB"/>
        <bgColor indexed="64"/>
      </patternFill>
    </fill>
    <fill>
      <patternFill patternType="solid">
        <fgColor theme="2"/>
        <bgColor indexed="64"/>
      </patternFill>
    </fill>
    <fill>
      <patternFill patternType="solid">
        <fgColor theme="4" tint="0.59999389629810485"/>
        <bgColor indexed="64"/>
      </patternFill>
    </fill>
  </fills>
  <borders count="1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style="medium">
        <color rgb="FF2E74B5"/>
      </top>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medium">
        <color rgb="FF2E74B5"/>
      </left>
      <right/>
      <top/>
      <bottom style="medium">
        <color rgb="FF2E74B5"/>
      </bottom>
      <diagonal/>
    </border>
    <border>
      <left style="medium">
        <color rgb="FF2E74B5"/>
      </left>
      <right/>
      <top style="medium">
        <color rgb="FF2E74B5"/>
      </top>
      <bottom/>
      <diagonal/>
    </border>
    <border>
      <left style="medium">
        <color rgb="FF2E74B5"/>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right/>
      <top style="thin">
        <color indexed="0"/>
      </top>
      <bottom/>
      <diagonal/>
    </border>
    <border>
      <left style="thin">
        <color indexed="0"/>
      </left>
      <right/>
      <top/>
      <bottom style="thin">
        <color indexed="0"/>
      </bottom>
      <diagonal/>
    </border>
    <border>
      <left/>
      <right/>
      <top/>
      <bottom style="thin">
        <color indexed="0"/>
      </bottom>
      <diagonal/>
    </border>
    <border>
      <left style="thin">
        <color indexed="0"/>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style="medium">
        <color indexed="64"/>
      </left>
      <right style="medium">
        <color rgb="FF2E74B5"/>
      </right>
      <top style="medium">
        <color indexed="64"/>
      </top>
      <bottom/>
      <diagonal/>
    </border>
    <border>
      <left/>
      <right style="medium">
        <color rgb="FF2E74B5"/>
      </right>
      <top style="medium">
        <color indexed="64"/>
      </top>
      <bottom/>
      <diagonal/>
    </border>
    <border>
      <left style="medium">
        <color indexed="64"/>
      </left>
      <right style="medium">
        <color rgb="FF2E74B5"/>
      </right>
      <top/>
      <bottom style="medium">
        <color indexed="64"/>
      </bottom>
      <diagonal/>
    </border>
    <border>
      <left/>
      <right style="medium">
        <color rgb="FF2E74B5"/>
      </right>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0"/>
      </right>
      <top/>
      <bottom style="thin">
        <color indexed="0"/>
      </bottom>
      <diagonal/>
    </border>
    <border>
      <left style="thin">
        <color indexed="0"/>
      </left>
      <right style="thin">
        <color indexed="0"/>
      </right>
      <top/>
      <bottom style="thin">
        <color indexed="0"/>
      </bottom>
      <diagonal/>
    </border>
    <border>
      <left style="thin">
        <color indexed="0"/>
      </left>
      <right style="thin">
        <color indexed="0"/>
      </right>
      <top/>
      <bottom/>
      <diagonal/>
    </border>
    <border>
      <left style="thin">
        <color indexed="0"/>
      </left>
      <right style="thin">
        <color indexed="0"/>
      </right>
      <top style="thin">
        <color indexed="0"/>
      </top>
      <bottom/>
      <diagonal/>
    </border>
    <border>
      <left/>
      <right style="thin">
        <color indexed="0"/>
      </right>
      <top/>
      <bottom/>
      <diagonal/>
    </border>
    <border>
      <left/>
      <right style="thin">
        <color indexed="0"/>
      </right>
      <top style="thin">
        <color indexed="0"/>
      </top>
      <bottom/>
      <diagonal/>
    </border>
    <border>
      <left/>
      <right style="medium">
        <color rgb="FF2E74B5"/>
      </right>
      <top style="thin">
        <color indexed="0"/>
      </top>
      <bottom style="medium">
        <color rgb="FF2E74B5"/>
      </bottom>
      <diagonal/>
    </border>
    <border>
      <left/>
      <right/>
      <top style="thin">
        <color indexed="0"/>
      </top>
      <bottom style="medium">
        <color rgb="FF2E74B5"/>
      </bottom>
      <diagonal/>
    </border>
    <border>
      <left style="medium">
        <color rgb="FF2E74B5"/>
      </left>
      <right/>
      <top style="thin">
        <color indexed="0"/>
      </top>
      <bottom style="medium">
        <color rgb="FF2E74B5"/>
      </bottom>
      <diagonal/>
    </border>
    <border>
      <left/>
      <right/>
      <top style="medium">
        <color rgb="FF2E74B5"/>
      </top>
      <bottom style="thin">
        <color indexed="0"/>
      </bottom>
      <diagonal/>
    </border>
    <border>
      <left style="thin">
        <color indexed="0"/>
      </left>
      <right/>
      <top style="medium">
        <color rgb="FF2E74B5"/>
      </top>
      <bottom style="thin">
        <color indexed="0"/>
      </bottom>
      <diagonal/>
    </border>
    <border>
      <left style="thin">
        <color indexed="0"/>
      </left>
      <right style="medium">
        <color indexed="64"/>
      </right>
      <top style="thin">
        <color indexed="0"/>
      </top>
      <bottom style="medium">
        <color indexed="64"/>
      </bottom>
      <diagonal/>
    </border>
    <border>
      <left style="thin">
        <color indexed="0"/>
      </left>
      <right/>
      <top style="thin">
        <color indexed="0"/>
      </top>
      <bottom style="medium">
        <color indexed="64"/>
      </bottom>
      <diagonal/>
    </border>
    <border>
      <left style="medium">
        <color indexed="64"/>
      </left>
      <right/>
      <top style="thin">
        <color indexed="0"/>
      </top>
      <bottom style="medium">
        <color indexed="64"/>
      </bottom>
      <diagonal/>
    </border>
    <border>
      <left style="thin">
        <color indexed="0"/>
      </left>
      <right style="medium">
        <color indexed="64"/>
      </right>
      <top style="thin">
        <color indexed="0"/>
      </top>
      <bottom style="thin">
        <color indexed="0"/>
      </bottom>
      <diagonal/>
    </border>
    <border>
      <left style="medium">
        <color indexed="64"/>
      </left>
      <right/>
      <top style="thin">
        <color indexed="0"/>
      </top>
      <bottom style="thin">
        <color indexed="0"/>
      </bottom>
      <diagonal/>
    </border>
    <border>
      <left style="thin">
        <color indexed="0"/>
      </left>
      <right style="medium">
        <color indexed="64"/>
      </right>
      <top style="medium">
        <color indexed="64"/>
      </top>
      <bottom style="thin">
        <color indexed="0"/>
      </bottom>
      <diagonal/>
    </border>
    <border>
      <left style="thin">
        <color indexed="0"/>
      </left>
      <right/>
      <top style="medium">
        <color indexed="64"/>
      </top>
      <bottom style="thin">
        <color indexed="0"/>
      </bottom>
      <diagonal/>
    </border>
    <border>
      <left style="medium">
        <color indexed="64"/>
      </left>
      <right/>
      <top style="medium">
        <color indexed="64"/>
      </top>
      <bottom style="thin">
        <color indexed="0"/>
      </bottom>
      <diagonal/>
    </border>
    <border>
      <left style="thin">
        <color indexed="0"/>
      </left>
      <right style="medium">
        <color indexed="64"/>
      </right>
      <top style="medium">
        <color indexed="64"/>
      </top>
      <bottom style="medium">
        <color indexed="64"/>
      </bottom>
      <diagonal/>
    </border>
    <border>
      <left style="thin">
        <color indexed="0"/>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rgb="FF2E74B5"/>
      </right>
      <top/>
      <bottom style="medium">
        <color rgb="FF2E74B5"/>
      </bottom>
      <diagonal/>
    </border>
    <border>
      <left style="medium">
        <color indexed="64"/>
      </left>
      <right style="medium">
        <color rgb="FF2E74B5"/>
      </right>
      <top style="medium">
        <color indexed="64"/>
      </top>
      <bottom style="medium">
        <color rgb="FF2E74B5"/>
      </bottom>
      <diagonal/>
    </border>
    <border>
      <left style="thin">
        <color indexed="0"/>
      </left>
      <right style="thin">
        <color indexed="0"/>
      </right>
      <top style="medium">
        <color indexed="64"/>
      </top>
      <bottom style="thin">
        <color indexed="0"/>
      </bottom>
      <diagonal/>
    </border>
    <border>
      <left style="medium">
        <color rgb="FF2E74B5"/>
      </left>
      <right style="thin">
        <color indexed="64"/>
      </right>
      <top style="medium">
        <color rgb="FF2E74B5"/>
      </top>
      <bottom/>
      <diagonal/>
    </border>
    <border>
      <left style="medium">
        <color rgb="FF2E74B5"/>
      </left>
      <right style="thin">
        <color indexed="64"/>
      </right>
      <top/>
      <bottom style="medium">
        <color rgb="FF2E74B5"/>
      </bottom>
      <diagonal/>
    </border>
    <border>
      <left/>
      <right style="thin">
        <color indexed="64"/>
      </right>
      <top style="medium">
        <color rgb="FF2E74B5"/>
      </top>
      <bottom/>
      <diagonal/>
    </border>
    <border>
      <left style="thin">
        <color indexed="64"/>
      </left>
      <right style="thin">
        <color indexed="0"/>
      </right>
      <top style="thin">
        <color indexed="0"/>
      </top>
      <bottom style="thin">
        <color indexed="0"/>
      </bottom>
      <diagonal/>
    </border>
    <border>
      <left/>
      <right style="thin">
        <color indexed="64"/>
      </right>
      <top style="thin">
        <color indexed="0"/>
      </top>
      <bottom style="thin">
        <color indexed="0"/>
      </bottom>
      <diagonal/>
    </border>
    <border>
      <left style="thin">
        <color indexed="64"/>
      </left>
      <right/>
      <top style="thin">
        <color indexed="0"/>
      </top>
      <bottom/>
      <diagonal/>
    </border>
    <border>
      <left style="thin">
        <color indexed="64"/>
      </left>
      <right/>
      <top style="medium">
        <color indexed="64"/>
      </top>
      <bottom style="thin">
        <color indexed="64"/>
      </bottom>
      <diagonal/>
    </border>
    <border>
      <left/>
      <right/>
      <top style="medium">
        <color rgb="FF2E74B5"/>
      </top>
      <bottom style="thin">
        <color indexed="64"/>
      </bottom>
      <diagonal/>
    </border>
    <border>
      <left style="medium">
        <color rgb="FF2E74B5"/>
      </left>
      <right style="medium">
        <color rgb="FF2E74B5"/>
      </right>
      <top style="medium">
        <color indexed="64"/>
      </top>
      <bottom/>
      <diagonal/>
    </border>
    <border>
      <left style="medium">
        <color rgb="FF2E74B5"/>
      </left>
      <right style="medium">
        <color rgb="FF2E74B5"/>
      </right>
      <top/>
      <bottom style="medium">
        <color indexed="64"/>
      </bottom>
      <diagonal/>
    </border>
    <border>
      <left style="thin">
        <color indexed="0"/>
      </left>
      <right style="medium">
        <color rgb="FF2E74B5"/>
      </right>
      <top style="thin">
        <color indexed="0"/>
      </top>
      <bottom style="thin">
        <color indexed="0"/>
      </bottom>
      <diagonal/>
    </border>
    <border>
      <left style="thin">
        <color indexed="64"/>
      </left>
      <right style="medium">
        <color rgb="FF2E74B5"/>
      </right>
      <top style="thin">
        <color indexed="64"/>
      </top>
      <bottom style="thin">
        <color indexed="64"/>
      </bottom>
      <diagonal/>
    </border>
    <border>
      <left style="thin">
        <color indexed="0"/>
      </left>
      <right style="medium">
        <color rgb="FF2E74B5"/>
      </right>
      <top style="medium">
        <color rgb="FF2E74B5"/>
      </top>
      <bottom style="thin">
        <color indexed="0"/>
      </bottom>
      <diagonal/>
    </border>
    <border>
      <left style="thin">
        <color indexed="0"/>
      </left>
      <right/>
      <top style="thin">
        <color indexed="0"/>
      </top>
      <bottom style="medium">
        <color rgb="FF2E74B5"/>
      </bottom>
      <diagonal/>
    </border>
    <border>
      <left style="thin">
        <color indexed="0"/>
      </left>
      <right style="medium">
        <color rgb="FF2E74B5"/>
      </right>
      <top style="thin">
        <color indexed="0"/>
      </top>
      <bottom style="medium">
        <color rgb="FF2E74B5"/>
      </bottom>
      <diagonal/>
    </border>
    <border>
      <left style="thin">
        <color indexed="64"/>
      </left>
      <right/>
      <top style="medium">
        <color rgb="FF2E74B5"/>
      </top>
      <bottom style="thin">
        <color indexed="64"/>
      </bottom>
      <diagonal/>
    </border>
    <border>
      <left/>
      <right style="thin">
        <color indexed="64"/>
      </right>
      <top style="medium">
        <color rgb="FF2E74B5"/>
      </top>
      <bottom style="thin">
        <color indexed="64"/>
      </bottom>
      <diagonal/>
    </border>
    <border>
      <left style="medium">
        <color theme="4"/>
      </left>
      <right style="medium">
        <color theme="4"/>
      </right>
      <top style="medium">
        <color theme="4"/>
      </top>
      <bottom style="medium">
        <color theme="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style="medium">
        <color rgb="FF2E74B5"/>
      </left>
      <right/>
      <top style="thin">
        <color indexed="64"/>
      </top>
      <bottom style="thin">
        <color indexed="64"/>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theme="4"/>
      </left>
      <right style="medium">
        <color theme="4"/>
      </right>
      <top style="medium">
        <color rgb="FF2E74B5"/>
      </top>
      <bottom style="medium">
        <color theme="4"/>
      </bottom>
      <diagonal/>
    </border>
    <border>
      <left style="medium">
        <color theme="8"/>
      </left>
      <right style="medium">
        <color theme="8"/>
      </right>
      <top style="medium">
        <color rgb="FF2E74B5"/>
      </top>
      <bottom style="medium">
        <color theme="8"/>
      </bottom>
      <diagonal/>
    </border>
    <border>
      <left style="medium">
        <color theme="8"/>
      </left>
      <right style="medium">
        <color theme="8"/>
      </right>
      <top style="medium">
        <color theme="8"/>
      </top>
      <bottom style="medium">
        <color theme="8"/>
      </bottom>
      <diagonal/>
    </border>
    <border>
      <left style="medium">
        <color theme="8"/>
      </left>
      <right style="thin">
        <color indexed="64"/>
      </right>
      <top style="medium">
        <color rgb="FF2E74B5"/>
      </top>
      <bottom style="medium">
        <color theme="8"/>
      </bottom>
      <diagonal/>
    </border>
    <border>
      <left style="medium">
        <color theme="8"/>
      </left>
      <right style="thin">
        <color indexed="64"/>
      </right>
      <top style="medium">
        <color theme="8"/>
      </top>
      <bottom style="medium">
        <color theme="8"/>
      </bottom>
      <diagonal/>
    </border>
    <border>
      <left/>
      <right/>
      <top/>
      <bottom style="medium">
        <color theme="4" tint="-0.24994659260841701"/>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s>
  <cellStyleXfs count="5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9" fontId="1" fillId="0" borderId="0" applyFont="0" applyFill="0" applyBorder="0" applyAlignment="0" applyProtection="0"/>
    <xf numFmtId="0" fontId="37" fillId="0" borderId="0"/>
    <xf numFmtId="164" fontId="1" fillId="0" borderId="0" applyFont="0" applyFill="0" applyBorder="0" applyAlignment="0" applyProtection="0"/>
    <xf numFmtId="0" fontId="54" fillId="0" borderId="0"/>
    <xf numFmtId="0" fontId="24" fillId="0" borderId="0"/>
    <xf numFmtId="43" fontId="1" fillId="0" borderId="0" applyFont="0" applyFill="0" applyBorder="0" applyAlignment="0" applyProtection="0"/>
    <xf numFmtId="0" fontId="1" fillId="0" borderId="0"/>
    <xf numFmtId="0" fontId="60" fillId="0" borderId="0">
      <alignment vertical="top"/>
    </xf>
    <xf numFmtId="0" fontId="24" fillId="0" borderId="0"/>
    <xf numFmtId="0" fontId="24" fillId="0" borderId="0"/>
    <xf numFmtId="0" fontId="24" fillId="0" borderId="0"/>
    <xf numFmtId="166" fontId="24" fillId="0" borderId="0" applyFill="0" applyBorder="0" applyAlignment="0" applyProtection="0"/>
    <xf numFmtId="0" fontId="24" fillId="0" borderId="0">
      <alignment vertical="top"/>
    </xf>
    <xf numFmtId="164" fontId="1" fillId="0" borderId="0" applyFont="0" applyFill="0" applyBorder="0" applyAlignment="0" applyProtection="0"/>
    <xf numFmtId="9" fontId="24" fillId="0" borderId="0" applyFont="0" applyFill="0" applyBorder="0" applyAlignment="0" applyProtection="0"/>
    <xf numFmtId="43" fontId="24" fillId="0" borderId="0" applyFont="0" applyFill="0" applyBorder="0" applyAlignment="0" applyProtection="0"/>
  </cellStyleXfs>
  <cellXfs count="3206">
    <xf numFmtId="0" fontId="0" fillId="0" borderId="0" xfId="0"/>
    <xf numFmtId="0" fontId="22" fillId="0" borderId="17" xfId="0" applyFont="1" applyBorder="1" applyAlignment="1">
      <alignment horizontal="left" vertical="center" wrapText="1" indent="1"/>
    </xf>
    <xf numFmtId="0" fontId="19" fillId="33" borderId="16" xfId="0" applyFont="1" applyFill="1" applyBorder="1" applyAlignment="1">
      <alignment horizontal="right" vertical="center"/>
    </xf>
    <xf numFmtId="0" fontId="19" fillId="33" borderId="17" xfId="0" applyFont="1" applyFill="1" applyBorder="1" applyAlignment="1">
      <alignment horizontal="left" vertical="center" wrapText="1"/>
    </xf>
    <xf numFmtId="3" fontId="19" fillId="33" borderId="17" xfId="0" applyNumberFormat="1" applyFont="1" applyFill="1" applyBorder="1" applyAlignment="1">
      <alignment horizontal="center" vertical="center" wrapText="1"/>
    </xf>
    <xf numFmtId="3" fontId="19" fillId="33" borderId="16" xfId="0" applyNumberFormat="1" applyFont="1" applyFill="1" applyBorder="1" applyAlignment="1">
      <alignment horizontal="center" vertical="center"/>
    </xf>
    <xf numFmtId="165" fontId="19" fillId="33" borderId="16" xfId="0" applyNumberFormat="1" applyFont="1" applyFill="1" applyBorder="1" applyAlignment="1">
      <alignment horizontal="center" vertical="center"/>
    </xf>
    <xf numFmtId="0" fontId="19" fillId="33" borderId="17" xfId="0" applyFont="1" applyFill="1" applyBorder="1" applyAlignment="1">
      <alignment horizontal="center" vertical="center" wrapText="1"/>
    </xf>
    <xf numFmtId="3" fontId="19" fillId="0" borderId="16" xfId="0" applyNumberFormat="1" applyFont="1" applyBorder="1" applyAlignment="1">
      <alignment horizontal="center" vertical="center"/>
    </xf>
    <xf numFmtId="0" fontId="25" fillId="0" borderId="17" xfId="0" applyFont="1" applyBorder="1" applyAlignment="1">
      <alignment horizontal="left" vertical="center" wrapText="1" indent="1"/>
    </xf>
    <xf numFmtId="0" fontId="16" fillId="0" borderId="0" xfId="0" applyFont="1" applyAlignment="1"/>
    <xf numFmtId="0" fontId="20" fillId="34" borderId="17" xfId="0" applyFont="1" applyFill="1" applyBorder="1" applyAlignment="1">
      <alignment vertical="center" wrapText="1"/>
    </xf>
    <xf numFmtId="0" fontId="19" fillId="34" borderId="17" xfId="0" applyFont="1" applyFill="1" applyBorder="1" applyAlignment="1">
      <alignment horizontal="left" vertical="center" wrapText="1"/>
    </xf>
    <xf numFmtId="0" fontId="28" fillId="33" borderId="20" xfId="0" applyFont="1" applyFill="1" applyBorder="1" applyAlignment="1">
      <alignment horizontal="left" vertical="center" wrapText="1"/>
    </xf>
    <xf numFmtId="0" fontId="20" fillId="0" borderId="17" xfId="0" applyFont="1" applyBorder="1" applyAlignment="1">
      <alignment horizontal="left" vertical="center" wrapText="1" indent="1"/>
    </xf>
    <xf numFmtId="0" fontId="19" fillId="33" borderId="19"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23" fillId="33" borderId="18"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30" fillId="34" borderId="17" xfId="0" applyFont="1" applyFill="1" applyBorder="1" applyAlignment="1">
      <alignment horizontal="left" vertical="center" wrapText="1"/>
    </xf>
    <xf numFmtId="0" fontId="31" fillId="0" borderId="21" xfId="0" applyFont="1" applyBorder="1" applyAlignment="1">
      <alignment horizontal="left" vertical="center" wrapText="1" indent="1"/>
    </xf>
    <xf numFmtId="3" fontId="23" fillId="0" borderId="16" xfId="0" applyNumberFormat="1" applyFont="1" applyBorder="1" applyAlignment="1">
      <alignment horizontal="center" vertical="center"/>
    </xf>
    <xf numFmtId="3" fontId="23" fillId="35" borderId="16" xfId="0" applyNumberFormat="1" applyFont="1" applyFill="1" applyBorder="1" applyAlignment="1">
      <alignment horizontal="center" vertical="center"/>
    </xf>
    <xf numFmtId="3" fontId="23" fillId="36" borderId="16" xfId="0" applyNumberFormat="1" applyFont="1" applyFill="1" applyBorder="1" applyAlignment="1">
      <alignment horizontal="center" vertical="center"/>
    </xf>
    <xf numFmtId="0" fontId="22" fillId="35" borderId="17" xfId="0" applyFont="1" applyFill="1" applyBorder="1" applyAlignment="1">
      <alignment horizontal="left" vertical="center" wrapText="1" indent="1"/>
    </xf>
    <xf numFmtId="3" fontId="19" fillId="35" borderId="13" xfId="0" applyNumberFormat="1" applyFont="1" applyFill="1" applyBorder="1" applyAlignment="1">
      <alignment horizontal="center" vertical="center"/>
    </xf>
    <xf numFmtId="3" fontId="19" fillId="35" borderId="16" xfId="0" applyNumberFormat="1" applyFont="1" applyFill="1" applyBorder="1" applyAlignment="1">
      <alignment horizontal="center" vertical="center"/>
    </xf>
    <xf numFmtId="0" fontId="20" fillId="36" borderId="17" xfId="0" applyFont="1" applyFill="1" applyBorder="1" applyAlignment="1">
      <alignment vertical="center" wrapText="1"/>
    </xf>
    <xf numFmtId="0" fontId="20" fillId="35" borderId="17" xfId="0" applyFont="1" applyFill="1" applyBorder="1" applyAlignment="1">
      <alignment horizontal="left" vertical="center" wrapText="1" indent="1"/>
    </xf>
    <xf numFmtId="0" fontId="35" fillId="0" borderId="25" xfId="0" applyFont="1" applyBorder="1"/>
    <xf numFmtId="0" fontId="35" fillId="0" borderId="0" xfId="0" applyFont="1" applyBorder="1" applyAlignment="1">
      <alignment horizontal="center" vertical="center" wrapText="1"/>
    </xf>
    <xf numFmtId="0" fontId="35" fillId="0" borderId="0" xfId="0" applyFont="1" applyBorder="1"/>
    <xf numFmtId="0" fontId="32" fillId="35" borderId="26" xfId="0" applyFont="1" applyFill="1" applyBorder="1"/>
    <xf numFmtId="0" fontId="35" fillId="0" borderId="36" xfId="0" applyFont="1" applyBorder="1"/>
    <xf numFmtId="0" fontId="35" fillId="0" borderId="37" xfId="0" applyFont="1" applyBorder="1"/>
    <xf numFmtId="0" fontId="35" fillId="0" borderId="39" xfId="0" applyFont="1" applyBorder="1"/>
    <xf numFmtId="0" fontId="35" fillId="0" borderId="41" xfId="0" applyFont="1" applyBorder="1"/>
    <xf numFmtId="0" fontId="35" fillId="0" borderId="42" xfId="0" applyFont="1" applyBorder="1"/>
    <xf numFmtId="49" fontId="55" fillId="0" borderId="0" xfId="46" applyNumberFormat="1" applyFont="1" applyAlignment="1">
      <alignment horizontal="left" vertical="top"/>
    </xf>
    <xf numFmtId="49" fontId="55" fillId="0" borderId="0" xfId="46" applyNumberFormat="1" applyFont="1" applyAlignment="1">
      <alignment horizontal="center" vertical="top"/>
    </xf>
    <xf numFmtId="49" fontId="55" fillId="0" borderId="0" xfId="46" applyNumberFormat="1" applyFont="1" applyFill="1" applyAlignment="1">
      <alignment horizontal="center" vertical="top"/>
    </xf>
    <xf numFmtId="0" fontId="55" fillId="0" borderId="0" xfId="46" applyFont="1" applyAlignment="1">
      <alignment horizontal="center" vertical="top"/>
    </xf>
    <xf numFmtId="167" fontId="55" fillId="0" borderId="0" xfId="48" applyNumberFormat="1" applyFont="1" applyAlignment="1">
      <alignment horizontal="center" vertical="top"/>
    </xf>
    <xf numFmtId="49" fontId="55" fillId="0" borderId="0" xfId="46" applyNumberFormat="1" applyFont="1" applyAlignment="1">
      <alignment vertical="top"/>
    </xf>
    <xf numFmtId="167" fontId="55" fillId="0" borderId="0" xfId="48" applyNumberFormat="1" applyFont="1" applyAlignment="1">
      <alignment vertical="top"/>
    </xf>
    <xf numFmtId="167" fontId="55" fillId="0" borderId="0" xfId="48" applyNumberFormat="1" applyFont="1" applyFill="1" applyAlignment="1">
      <alignment vertical="top"/>
    </xf>
    <xf numFmtId="167" fontId="55" fillId="0" borderId="59" xfId="48" applyNumberFormat="1" applyFont="1" applyFill="1" applyBorder="1" applyAlignment="1">
      <alignment vertical="top"/>
    </xf>
    <xf numFmtId="0" fontId="58" fillId="0" borderId="0" xfId="49" applyFont="1" applyAlignment="1">
      <alignment vertical="top"/>
    </xf>
    <xf numFmtId="49" fontId="56" fillId="0" borderId="0" xfId="46" applyNumberFormat="1" applyFont="1" applyAlignment="1">
      <alignment horizontal="center" vertical="top"/>
    </xf>
    <xf numFmtId="167" fontId="56" fillId="0" borderId="0" xfId="48" applyNumberFormat="1" applyFont="1" applyFill="1" applyAlignment="1">
      <alignment vertical="top"/>
    </xf>
    <xf numFmtId="167" fontId="56" fillId="45" borderId="63" xfId="48" applyNumberFormat="1" applyFont="1" applyFill="1" applyBorder="1" applyAlignment="1">
      <alignment vertical="top"/>
    </xf>
    <xf numFmtId="167" fontId="56" fillId="44" borderId="63" xfId="48" applyNumberFormat="1" applyFont="1" applyFill="1" applyBorder="1" applyAlignment="1">
      <alignment vertical="top"/>
    </xf>
    <xf numFmtId="167" fontId="56" fillId="44" borderId="64" xfId="48" applyNumberFormat="1" applyFont="1" applyFill="1" applyBorder="1" applyAlignment="1">
      <alignment vertical="top"/>
    </xf>
    <xf numFmtId="167" fontId="56" fillId="45" borderId="53" xfId="48" applyNumberFormat="1" applyFont="1" applyFill="1" applyBorder="1" applyAlignment="1">
      <alignment vertical="top"/>
    </xf>
    <xf numFmtId="167" fontId="56" fillId="45" borderId="64" xfId="48" applyNumberFormat="1" applyFont="1" applyFill="1" applyBorder="1" applyAlignment="1">
      <alignment vertical="top"/>
    </xf>
    <xf numFmtId="167" fontId="56" fillId="46" borderId="63" xfId="48" applyNumberFormat="1" applyFont="1" applyFill="1" applyBorder="1" applyAlignment="1">
      <alignment vertical="top"/>
    </xf>
    <xf numFmtId="167" fontId="56" fillId="46" borderId="53" xfId="48" applyNumberFormat="1" applyFont="1" applyFill="1" applyBorder="1" applyAlignment="1">
      <alignment vertical="top"/>
    </xf>
    <xf numFmtId="167" fontId="56" fillId="46" borderId="64" xfId="48" applyNumberFormat="1" applyFont="1" applyFill="1" applyBorder="1" applyAlignment="1">
      <alignment vertical="top"/>
    </xf>
    <xf numFmtId="167" fontId="56" fillId="39" borderId="63" xfId="48" applyNumberFormat="1" applyFont="1" applyFill="1" applyBorder="1" applyAlignment="1">
      <alignment vertical="top"/>
    </xf>
    <xf numFmtId="167" fontId="56" fillId="39" borderId="53" xfId="48" applyNumberFormat="1" applyFont="1" applyFill="1" applyBorder="1" applyAlignment="1">
      <alignment vertical="top"/>
    </xf>
    <xf numFmtId="167" fontId="56" fillId="39" borderId="64" xfId="48" applyNumberFormat="1" applyFont="1" applyFill="1" applyBorder="1" applyAlignment="1">
      <alignment vertical="top"/>
    </xf>
    <xf numFmtId="0" fontId="56" fillId="41" borderId="65" xfId="47" applyFont="1" applyFill="1" applyBorder="1" applyAlignment="1">
      <alignment horizontal="center" vertical="center" wrapText="1"/>
    </xf>
    <xf numFmtId="0" fontId="56" fillId="41" borderId="25" xfId="47" applyFont="1" applyFill="1" applyBorder="1" applyAlignment="1">
      <alignment horizontal="center" vertical="center" wrapText="1"/>
    </xf>
    <xf numFmtId="49" fontId="56" fillId="41" borderId="25" xfId="47" applyNumberFormat="1" applyFont="1" applyFill="1" applyBorder="1" applyAlignment="1">
      <alignment horizontal="center" vertical="center" wrapText="1"/>
    </xf>
    <xf numFmtId="0" fontId="56" fillId="41" borderId="65" xfId="47" applyFont="1" applyFill="1" applyBorder="1" applyAlignment="1">
      <alignment horizontal="center" vertical="top" wrapText="1"/>
    </xf>
    <xf numFmtId="49" fontId="56" fillId="41" borderId="65" xfId="47" applyNumberFormat="1" applyFont="1" applyFill="1" applyBorder="1" applyAlignment="1">
      <alignment horizontal="center" vertical="top" wrapText="1"/>
    </xf>
    <xf numFmtId="167" fontId="56" fillId="41" borderId="65" xfId="48" applyNumberFormat="1" applyFont="1" applyFill="1" applyBorder="1" applyAlignment="1">
      <alignment horizontal="center" vertical="top" wrapText="1"/>
    </xf>
    <xf numFmtId="167" fontId="56" fillId="41" borderId="25" xfId="48" applyNumberFormat="1" applyFont="1" applyFill="1" applyBorder="1" applyAlignment="1">
      <alignment horizontal="center" vertical="center"/>
    </xf>
    <xf numFmtId="167" fontId="56" fillId="0" borderId="25" xfId="48" applyNumberFormat="1" applyFont="1" applyFill="1" applyBorder="1" applyAlignment="1">
      <alignment horizontal="center" vertical="center" wrapText="1"/>
    </xf>
    <xf numFmtId="167" fontId="56" fillId="44" borderId="25" xfId="48" applyNumberFormat="1" applyFont="1" applyFill="1" applyBorder="1" applyAlignment="1">
      <alignment horizontal="center" vertical="center" wrapText="1"/>
    </xf>
    <xf numFmtId="167" fontId="56" fillId="44" borderId="25" xfId="47" applyNumberFormat="1" applyFont="1" applyFill="1" applyBorder="1" applyAlignment="1">
      <alignment horizontal="center" vertical="center" wrapText="1"/>
    </xf>
    <xf numFmtId="167" fontId="56" fillId="45" borderId="25" xfId="48" applyNumberFormat="1" applyFont="1" applyFill="1" applyBorder="1" applyAlignment="1">
      <alignment horizontal="center" vertical="center" wrapText="1"/>
    </xf>
    <xf numFmtId="167" fontId="56" fillId="45" borderId="25" xfId="47" applyNumberFormat="1" applyFont="1" applyFill="1" applyBorder="1" applyAlignment="1">
      <alignment horizontal="center" vertical="center" wrapText="1"/>
    </xf>
    <xf numFmtId="167" fontId="56" fillId="46" borderId="25" xfId="48" applyNumberFormat="1" applyFont="1" applyFill="1" applyBorder="1" applyAlignment="1">
      <alignment horizontal="center" vertical="center" wrapText="1"/>
    </xf>
    <xf numFmtId="167" fontId="56" fillId="46" borderId="25" xfId="47" applyNumberFormat="1" applyFont="1" applyFill="1" applyBorder="1" applyAlignment="1">
      <alignment horizontal="center" vertical="center" wrapText="1"/>
    </xf>
    <xf numFmtId="167" fontId="56" fillId="39" borderId="25" xfId="48" applyNumberFormat="1" applyFont="1" applyFill="1" applyBorder="1" applyAlignment="1">
      <alignment horizontal="center" vertical="center" wrapText="1"/>
    </xf>
    <xf numFmtId="167" fontId="56" fillId="39" borderId="25" xfId="47" applyNumberFormat="1" applyFont="1" applyFill="1" applyBorder="1" applyAlignment="1">
      <alignment horizontal="center" vertical="center" wrapText="1"/>
    </xf>
    <xf numFmtId="0" fontId="56" fillId="41" borderId="25" xfId="47" applyFont="1" applyFill="1" applyBorder="1" applyAlignment="1">
      <alignment horizontal="center" vertical="top" wrapText="1"/>
    </xf>
    <xf numFmtId="49" fontId="56" fillId="41" borderId="25" xfId="47" applyNumberFormat="1" applyFont="1" applyFill="1" applyBorder="1" applyAlignment="1">
      <alignment horizontal="center" vertical="top"/>
    </xf>
    <xf numFmtId="49" fontId="56" fillId="41" borderId="25" xfId="47" applyNumberFormat="1" applyFont="1" applyFill="1" applyBorder="1" applyAlignment="1">
      <alignment horizontal="center" vertical="top" wrapText="1"/>
    </xf>
    <xf numFmtId="167" fontId="56" fillId="41" borderId="25" xfId="48" applyNumberFormat="1" applyFont="1" applyFill="1" applyBorder="1" applyAlignment="1"/>
    <xf numFmtId="167" fontId="56" fillId="0" borderId="25" xfId="48" applyNumberFormat="1" applyFont="1" applyFill="1" applyBorder="1" applyAlignment="1"/>
    <xf numFmtId="167" fontId="56" fillId="44" borderId="25" xfId="47" applyNumberFormat="1" applyFont="1" applyFill="1" applyBorder="1" applyAlignment="1">
      <alignment horizontal="center" wrapText="1"/>
    </xf>
    <xf numFmtId="167" fontId="56" fillId="45" borderId="25" xfId="47" applyNumberFormat="1" applyFont="1" applyFill="1" applyBorder="1" applyAlignment="1">
      <alignment horizontal="center" wrapText="1"/>
    </xf>
    <xf numFmtId="167" fontId="56" fillId="46" borderId="25" xfId="47" applyNumberFormat="1" applyFont="1" applyFill="1" applyBorder="1" applyAlignment="1">
      <alignment horizontal="center" wrapText="1"/>
    </xf>
    <xf numFmtId="167" fontId="56" fillId="39" borderId="25" xfId="47" applyNumberFormat="1" applyFont="1" applyFill="1" applyBorder="1" applyAlignment="1">
      <alignment horizontal="center" wrapText="1"/>
    </xf>
    <xf numFmtId="167" fontId="56" fillId="41" borderId="25" xfId="47" applyNumberFormat="1" applyFont="1" applyFill="1" applyBorder="1" applyAlignment="1">
      <alignment horizontal="center" vertical="top"/>
    </xf>
    <xf numFmtId="167" fontId="56" fillId="41" borderId="25" xfId="48" applyNumberFormat="1" applyFont="1" applyFill="1" applyBorder="1" applyAlignment="1">
      <alignment horizontal="center" vertical="top"/>
    </xf>
    <xf numFmtId="167" fontId="56" fillId="41" borderId="25" xfId="48" applyNumberFormat="1" applyFont="1" applyFill="1" applyBorder="1" applyAlignment="1">
      <alignment vertical="top"/>
    </xf>
    <xf numFmtId="167" fontId="56" fillId="44" borderId="25" xfId="48" applyNumberFormat="1" applyFont="1" applyFill="1" applyBorder="1" applyAlignment="1">
      <alignment vertical="top"/>
    </xf>
    <xf numFmtId="167" fontId="56" fillId="45" borderId="25" xfId="48" applyNumberFormat="1" applyFont="1" applyFill="1" applyBorder="1" applyAlignment="1">
      <alignment vertical="top"/>
    </xf>
    <xf numFmtId="167" fontId="56" fillId="39" borderId="25" xfId="48" applyNumberFormat="1" applyFont="1" applyFill="1" applyBorder="1" applyAlignment="1">
      <alignment vertical="top"/>
    </xf>
    <xf numFmtId="49" fontId="55" fillId="33" borderId="25" xfId="48" applyNumberFormat="1" applyFont="1" applyFill="1" applyBorder="1" applyAlignment="1">
      <alignment horizontal="center" wrapText="1"/>
    </xf>
    <xf numFmtId="0" fontId="55" fillId="33" borderId="25" xfId="48" applyNumberFormat="1" applyFont="1" applyFill="1" applyBorder="1" applyAlignment="1">
      <alignment horizontal="center" wrapText="1"/>
    </xf>
    <xf numFmtId="0" fontId="55" fillId="0" borderId="25" xfId="49" applyNumberFormat="1" applyFont="1" applyFill="1" applyBorder="1" applyAlignment="1">
      <alignment horizontal="center"/>
    </xf>
    <xf numFmtId="49" fontId="55" fillId="0" borderId="25" xfId="49" applyNumberFormat="1" applyFont="1" applyFill="1" applyBorder="1" applyAlignment="1">
      <alignment horizontal="left"/>
    </xf>
    <xf numFmtId="43" fontId="55" fillId="0" borderId="25" xfId="48" applyFont="1" applyFill="1" applyBorder="1" applyAlignment="1">
      <alignment wrapText="1"/>
    </xf>
    <xf numFmtId="167" fontId="55" fillId="45" borderId="25" xfId="48" applyNumberFormat="1" applyFont="1" applyFill="1" applyBorder="1" applyAlignment="1"/>
    <xf numFmtId="167" fontId="55" fillId="0" borderId="25" xfId="47" applyNumberFormat="1" applyFont="1" applyFill="1" applyBorder="1" applyAlignment="1">
      <alignment horizontal="center" wrapText="1"/>
    </xf>
    <xf numFmtId="49" fontId="55" fillId="0" borderId="25" xfId="48" applyNumberFormat="1" applyFont="1" applyFill="1" applyBorder="1" applyAlignment="1">
      <alignment horizontal="center"/>
    </xf>
    <xf numFmtId="167" fontId="55" fillId="0" borderId="25" xfId="48" applyNumberFormat="1" applyFont="1" applyFill="1" applyBorder="1" applyAlignment="1"/>
    <xf numFmtId="167" fontId="55" fillId="0" borderId="25" xfId="48" applyNumberFormat="1" applyFont="1" applyFill="1" applyBorder="1" applyAlignment="1">
      <alignment vertical="top"/>
    </xf>
    <xf numFmtId="49" fontId="55" fillId="33" borderId="25" xfId="48" quotePrefix="1" applyNumberFormat="1" applyFont="1" applyFill="1" applyBorder="1" applyAlignment="1">
      <alignment horizontal="center" wrapText="1"/>
    </xf>
    <xf numFmtId="0" fontId="58" fillId="0" borderId="25" xfId="49" applyFont="1" applyFill="1" applyBorder="1" applyAlignment="1"/>
    <xf numFmtId="0" fontId="58" fillId="45" borderId="25" xfId="49" applyFont="1" applyFill="1" applyBorder="1" applyAlignment="1"/>
    <xf numFmtId="168" fontId="59" fillId="0" borderId="25" xfId="48" applyNumberFormat="1" applyFont="1" applyFill="1" applyBorder="1" applyAlignment="1"/>
    <xf numFmtId="167" fontId="58" fillId="0" borderId="25" xfId="49" applyNumberFormat="1" applyFont="1" applyFill="1" applyBorder="1" applyAlignment="1"/>
    <xf numFmtId="167" fontId="58" fillId="0" borderId="25" xfId="49" applyNumberFormat="1" applyFont="1" applyFill="1" applyBorder="1" applyAlignment="1">
      <alignment vertical="top"/>
    </xf>
    <xf numFmtId="49" fontId="55" fillId="0" borderId="25" xfId="48" applyNumberFormat="1" applyFont="1" applyFill="1" applyBorder="1" applyAlignment="1">
      <alignment horizontal="center" wrapText="1"/>
    </xf>
    <xf numFmtId="0" fontId="55" fillId="0" borderId="25" xfId="48" applyNumberFormat="1" applyFont="1" applyFill="1" applyBorder="1" applyAlignment="1">
      <alignment horizontal="center" wrapText="1"/>
    </xf>
    <xf numFmtId="167" fontId="56" fillId="0" borderId="25" xfId="47" applyNumberFormat="1" applyFont="1" applyFill="1" applyBorder="1" applyAlignment="1">
      <alignment horizontal="center" wrapText="1"/>
    </xf>
    <xf numFmtId="167" fontId="55" fillId="0" borderId="25" xfId="49" applyNumberFormat="1" applyFont="1" applyFill="1" applyBorder="1" applyAlignment="1"/>
    <xf numFmtId="167" fontId="55" fillId="0" borderId="25" xfId="49" applyNumberFormat="1" applyFont="1" applyFill="1" applyBorder="1" applyAlignment="1">
      <alignment vertical="top"/>
    </xf>
    <xf numFmtId="0" fontId="58" fillId="0" borderId="25" xfId="0" applyFont="1" applyBorder="1" applyAlignment="1">
      <alignment horizontal="center"/>
    </xf>
    <xf numFmtId="0" fontId="58" fillId="0" borderId="25" xfId="0" applyFont="1" applyFill="1" applyBorder="1" applyAlignment="1"/>
    <xf numFmtId="0" fontId="58" fillId="0" borderId="0" xfId="0" applyFont="1" applyBorder="1" applyAlignment="1">
      <alignment horizontal="center" vertical="center"/>
    </xf>
    <xf numFmtId="0" fontId="55" fillId="42" borderId="0" xfId="0" applyFont="1" applyFill="1" applyBorder="1" applyAlignment="1">
      <alignment vertical="top"/>
    </xf>
    <xf numFmtId="43" fontId="55" fillId="42" borderId="25" xfId="48" applyFont="1" applyFill="1" applyBorder="1" applyAlignment="1">
      <alignment vertical="top"/>
    </xf>
    <xf numFmtId="0" fontId="56" fillId="41" borderId="25" xfId="47" applyFont="1" applyFill="1" applyBorder="1" applyAlignment="1">
      <alignment horizontal="center" wrapText="1"/>
    </xf>
    <xf numFmtId="49" fontId="56" fillId="41" borderId="25" xfId="47" applyNumberFormat="1" applyFont="1" applyFill="1" applyBorder="1" applyAlignment="1">
      <alignment horizontal="center"/>
    </xf>
    <xf numFmtId="0" fontId="56" fillId="41" borderId="25" xfId="47" applyFont="1" applyFill="1" applyBorder="1" applyAlignment="1">
      <alignment wrapText="1"/>
    </xf>
    <xf numFmtId="49" fontId="56" fillId="41" borderId="25" xfId="47" applyNumberFormat="1" applyFont="1" applyFill="1" applyBorder="1" applyAlignment="1">
      <alignment horizontal="center" wrapText="1"/>
    </xf>
    <xf numFmtId="0" fontId="56" fillId="41" borderId="25" xfId="47" quotePrefix="1" applyFont="1" applyFill="1" applyBorder="1" applyAlignment="1">
      <alignment horizontal="center" wrapText="1"/>
    </xf>
    <xf numFmtId="167" fontId="56" fillId="45" borderId="25" xfId="48" applyNumberFormat="1" applyFont="1" applyFill="1" applyBorder="1" applyAlignment="1"/>
    <xf numFmtId="0" fontId="58" fillId="0" borderId="0" xfId="49" applyFont="1" applyFill="1" applyAlignment="1">
      <alignment vertical="top"/>
    </xf>
    <xf numFmtId="49" fontId="56" fillId="33" borderId="25" xfId="48" applyNumberFormat="1" applyFont="1" applyFill="1" applyBorder="1" applyAlignment="1">
      <alignment horizontal="center" wrapText="1"/>
    </xf>
    <xf numFmtId="168" fontId="56" fillId="0" borderId="25" xfId="48" applyNumberFormat="1" applyFont="1" applyFill="1" applyBorder="1" applyAlignment="1">
      <alignment horizontal="right"/>
    </xf>
    <xf numFmtId="167" fontId="55" fillId="45" borderId="25" xfId="48" applyNumberFormat="1" applyFont="1" applyFill="1" applyBorder="1" applyAlignment="1">
      <alignment vertical="top"/>
    </xf>
    <xf numFmtId="49" fontId="55" fillId="33" borderId="25" xfId="0" applyNumberFormat="1" applyFont="1" applyFill="1" applyBorder="1" applyAlignment="1">
      <alignment horizontal="center"/>
    </xf>
    <xf numFmtId="49" fontId="55" fillId="0" borderId="25" xfId="50" applyNumberFormat="1" applyFont="1" applyBorder="1" applyAlignment="1">
      <alignment horizontal="center"/>
    </xf>
    <xf numFmtId="49" fontId="55" fillId="0" borderId="25" xfId="51" applyNumberFormat="1" applyFont="1" applyFill="1" applyBorder="1" applyAlignment="1"/>
    <xf numFmtId="49" fontId="55" fillId="33" borderId="25" xfId="51" applyNumberFormat="1" applyFont="1" applyFill="1" applyBorder="1" applyAlignment="1">
      <alignment horizontal="center"/>
    </xf>
    <xf numFmtId="49" fontId="55" fillId="0" borderId="66" xfId="50" applyNumberFormat="1" applyFont="1" applyBorder="1" applyAlignment="1">
      <alignment horizontal="center"/>
    </xf>
    <xf numFmtId="0" fontId="55" fillId="0" borderId="25" xfId="52" applyFont="1" applyBorder="1" applyAlignment="1">
      <alignment horizontal="center"/>
    </xf>
    <xf numFmtId="49" fontId="55" fillId="33" borderId="25" xfId="51" quotePrefix="1" applyNumberFormat="1" applyFont="1" applyFill="1" applyBorder="1" applyAlignment="1">
      <alignment horizontal="center"/>
    </xf>
    <xf numFmtId="0" fontId="55" fillId="33" borderId="66" xfId="0" applyFont="1" applyFill="1" applyBorder="1" applyAlignment="1">
      <alignment horizontal="center"/>
    </xf>
    <xf numFmtId="0" fontId="55" fillId="0" borderId="25" xfId="0" applyFont="1" applyFill="1" applyBorder="1" applyAlignment="1">
      <alignment wrapText="1"/>
    </xf>
    <xf numFmtId="167" fontId="58" fillId="0" borderId="25" xfId="0" applyNumberFormat="1" applyFont="1" applyFill="1" applyBorder="1" applyAlignment="1"/>
    <xf numFmtId="0" fontId="55" fillId="0" borderId="66" xfId="53" applyFont="1" applyBorder="1" applyAlignment="1">
      <alignment horizontal="center"/>
    </xf>
    <xf numFmtId="0" fontId="55" fillId="0" borderId="25" xfId="53" applyFont="1" applyFill="1" applyBorder="1" applyAlignment="1">
      <alignment wrapText="1"/>
    </xf>
    <xf numFmtId="0" fontId="55" fillId="0" borderId="25" xfId="0" applyNumberFormat="1" applyFont="1" applyFill="1" applyBorder="1" applyAlignment="1">
      <alignment wrapText="1"/>
    </xf>
    <xf numFmtId="0" fontId="55" fillId="33" borderId="25" xfId="0" quotePrefix="1" applyFont="1" applyFill="1" applyBorder="1" applyAlignment="1">
      <alignment horizontal="center"/>
    </xf>
    <xf numFmtId="0" fontId="55" fillId="33" borderId="25" xfId="0" applyFont="1" applyFill="1" applyBorder="1" applyAlignment="1">
      <alignment horizontal="center"/>
    </xf>
    <xf numFmtId="49" fontId="61" fillId="0" borderId="25" xfId="0" quotePrefix="1" applyNumberFormat="1" applyFont="1" applyFill="1" applyBorder="1" applyAlignment="1">
      <alignment horizontal="center" wrapText="1"/>
    </xf>
    <xf numFmtId="49" fontId="55" fillId="33" borderId="25" xfId="50" quotePrefix="1" applyNumberFormat="1" applyFont="1" applyFill="1" applyBorder="1" applyAlignment="1">
      <alignment horizontal="center"/>
    </xf>
    <xf numFmtId="49" fontId="55" fillId="0" borderId="25" xfId="53" applyNumberFormat="1" applyFont="1" applyFill="1" applyBorder="1" applyAlignment="1">
      <alignment wrapText="1"/>
    </xf>
    <xf numFmtId="167" fontId="58" fillId="0" borderId="25" xfId="45" applyNumberFormat="1" applyFont="1" applyFill="1" applyBorder="1" applyAlignment="1"/>
    <xf numFmtId="49" fontId="55" fillId="33" borderId="25" xfId="0" quotePrefix="1" applyNumberFormat="1" applyFont="1" applyFill="1" applyBorder="1" applyAlignment="1">
      <alignment horizontal="center"/>
    </xf>
    <xf numFmtId="0" fontId="55" fillId="33" borderId="25" xfId="0" applyNumberFormat="1" applyFont="1" applyFill="1" applyBorder="1" applyAlignment="1">
      <alignment horizontal="center"/>
    </xf>
    <xf numFmtId="49" fontId="61" fillId="0" borderId="25" xfId="0" applyNumberFormat="1" applyFont="1" applyFill="1" applyBorder="1" applyAlignment="1">
      <alignment horizontal="center" wrapText="1"/>
    </xf>
    <xf numFmtId="49" fontId="55" fillId="0" borderId="25" xfId="0" applyNumberFormat="1" applyFont="1" applyFill="1" applyBorder="1" applyAlignment="1">
      <alignment wrapText="1"/>
    </xf>
    <xf numFmtId="168" fontId="55" fillId="0" borderId="25" xfId="48" applyNumberFormat="1" applyFont="1" applyFill="1" applyBorder="1" applyAlignment="1"/>
    <xf numFmtId="49" fontId="61" fillId="0" borderId="25" xfId="53" applyNumberFormat="1" applyFont="1" applyFill="1" applyBorder="1" applyAlignment="1">
      <alignment horizontal="center" wrapText="1"/>
    </xf>
    <xf numFmtId="49" fontId="59" fillId="0" borderId="25" xfId="49" applyNumberFormat="1" applyFont="1" applyBorder="1" applyAlignment="1">
      <alignment horizontal="center"/>
    </xf>
    <xf numFmtId="168" fontId="55" fillId="45" borderId="25" xfId="48" applyNumberFormat="1" applyFont="1" applyFill="1" applyBorder="1" applyAlignment="1"/>
    <xf numFmtId="0" fontId="55" fillId="33" borderId="25" xfId="48" quotePrefix="1" applyNumberFormat="1" applyFont="1" applyFill="1" applyBorder="1" applyAlignment="1">
      <alignment horizontal="center" wrapText="1"/>
    </xf>
    <xf numFmtId="0" fontId="55" fillId="0" borderId="25" xfId="49" applyNumberFormat="1" applyFont="1" applyFill="1" applyBorder="1" applyAlignment="1">
      <alignment wrapText="1"/>
    </xf>
    <xf numFmtId="0" fontId="62" fillId="0" borderId="25" xfId="49" applyFont="1" applyFill="1" applyBorder="1" applyAlignment="1">
      <alignment wrapText="1"/>
    </xf>
    <xf numFmtId="167" fontId="55" fillId="33" borderId="25" xfId="48" applyNumberFormat="1" applyFont="1" applyFill="1" applyBorder="1" applyAlignment="1"/>
    <xf numFmtId="0" fontId="58" fillId="0" borderId="0" xfId="49" applyFont="1" applyFill="1" applyBorder="1" applyAlignment="1"/>
    <xf numFmtId="0" fontId="55" fillId="0" borderId="25" xfId="48" applyNumberFormat="1" applyFont="1" applyFill="1" applyBorder="1" applyAlignment="1">
      <alignment wrapText="1"/>
    </xf>
    <xf numFmtId="49" fontId="55" fillId="0" borderId="25" xfId="0" applyNumberFormat="1" applyFont="1" applyFill="1" applyBorder="1" applyAlignment="1">
      <alignment horizontal="center"/>
    </xf>
    <xf numFmtId="43" fontId="56" fillId="0" borderId="25" xfId="48" applyFont="1" applyFill="1" applyBorder="1" applyAlignment="1">
      <alignment wrapText="1"/>
    </xf>
    <xf numFmtId="43" fontId="55" fillId="0" borderId="25" xfId="48" applyFont="1" applyFill="1" applyBorder="1" applyAlignment="1">
      <alignment horizontal="left" wrapText="1"/>
    </xf>
    <xf numFmtId="49" fontId="59" fillId="0" borderId="25" xfId="0" applyNumberFormat="1" applyFont="1" applyBorder="1" applyAlignment="1">
      <alignment horizontal="center"/>
    </xf>
    <xf numFmtId="49" fontId="55" fillId="0" borderId="66" xfId="51" applyNumberFormat="1" applyFont="1" applyFill="1" applyBorder="1" applyAlignment="1">
      <alignment wrapText="1"/>
    </xf>
    <xf numFmtId="0" fontId="62" fillId="0" borderId="25" xfId="0" quotePrefix="1" applyFont="1" applyBorder="1" applyAlignment="1">
      <alignment horizontal="center" wrapText="1"/>
    </xf>
    <xf numFmtId="0" fontId="58" fillId="0" borderId="25" xfId="0" quotePrefix="1" applyFont="1" applyBorder="1" applyAlignment="1">
      <alignment horizontal="center"/>
    </xf>
    <xf numFmtId="49" fontId="55" fillId="0" borderId="66" xfId="0" applyNumberFormat="1" applyFont="1" applyFill="1" applyBorder="1" applyAlignment="1">
      <alignment wrapText="1"/>
    </xf>
    <xf numFmtId="49" fontId="55" fillId="33" borderId="66" xfId="50" quotePrefix="1" applyNumberFormat="1" applyFont="1" applyFill="1" applyBorder="1" applyAlignment="1">
      <alignment horizontal="center"/>
    </xf>
    <xf numFmtId="49" fontId="61" fillId="0" borderId="25" xfId="53" quotePrefix="1" applyNumberFormat="1" applyFont="1" applyFill="1" applyBorder="1" applyAlignment="1">
      <alignment horizontal="center" wrapText="1"/>
    </xf>
    <xf numFmtId="167" fontId="55" fillId="42" borderId="25" xfId="47" applyNumberFormat="1" applyFont="1" applyFill="1" applyBorder="1" applyAlignment="1">
      <alignment horizontal="center" wrapText="1"/>
    </xf>
    <xf numFmtId="0" fontId="55" fillId="0" borderId="25" xfId="53" applyFont="1" applyFill="1" applyBorder="1" applyAlignment="1">
      <alignment horizontal="left" wrapText="1"/>
    </xf>
    <xf numFmtId="41" fontId="59" fillId="0" borderId="25" xfId="0" applyNumberFormat="1" applyFont="1" applyFill="1" applyBorder="1" applyAlignment="1">
      <alignment horizontal="center"/>
    </xf>
    <xf numFmtId="3" fontId="55" fillId="0" borderId="25" xfId="54" applyNumberFormat="1" applyFont="1" applyFill="1" applyBorder="1" applyAlignment="1"/>
    <xf numFmtId="49" fontId="55" fillId="42" borderId="25" xfId="0" applyNumberFormat="1" applyFont="1" applyFill="1" applyBorder="1" applyAlignment="1">
      <alignment horizontal="center" vertical="top"/>
    </xf>
    <xf numFmtId="0" fontId="55" fillId="42" borderId="25" xfId="0" applyFont="1" applyFill="1" applyBorder="1" applyAlignment="1">
      <alignment vertical="top" wrapText="1"/>
    </xf>
    <xf numFmtId="0" fontId="55" fillId="42" borderId="25" xfId="48" quotePrefix="1" applyNumberFormat="1" applyFont="1" applyFill="1" applyBorder="1" applyAlignment="1">
      <alignment horizontal="center" wrapText="1"/>
    </xf>
    <xf numFmtId="0" fontId="55" fillId="42" borderId="25" xfId="48" applyNumberFormat="1" applyFont="1" applyFill="1" applyBorder="1" applyAlignment="1">
      <alignment horizontal="center" wrapText="1"/>
    </xf>
    <xf numFmtId="49" fontId="55" fillId="42" borderId="25" xfId="48" applyNumberFormat="1" applyFont="1" applyFill="1" applyBorder="1" applyAlignment="1">
      <alignment horizontal="center" wrapText="1"/>
    </xf>
    <xf numFmtId="0" fontId="55" fillId="42" borderId="25" xfId="0" applyNumberFormat="1" applyFont="1" applyFill="1" applyBorder="1" applyAlignment="1">
      <alignment vertical="top"/>
    </xf>
    <xf numFmtId="3" fontId="58" fillId="33" borderId="25" xfId="0" applyNumberFormat="1" applyFont="1" applyFill="1" applyBorder="1" applyAlignment="1"/>
    <xf numFmtId="3" fontId="58" fillId="33" borderId="25" xfId="0" applyNumberFormat="1" applyFont="1" applyFill="1" applyBorder="1" applyAlignment="1">
      <alignment horizontal="center"/>
    </xf>
    <xf numFmtId="3" fontId="58" fillId="33" borderId="25" xfId="0" applyNumberFormat="1" applyFont="1" applyFill="1" applyBorder="1" applyAlignment="1">
      <alignment vertical="top"/>
    </xf>
    <xf numFmtId="49" fontId="55" fillId="0" borderId="25" xfId="0" applyNumberFormat="1" applyFont="1" applyFill="1" applyBorder="1" applyAlignment="1">
      <alignment horizontal="center" vertical="top"/>
    </xf>
    <xf numFmtId="0" fontId="55" fillId="33" borderId="25" xfId="48" applyNumberFormat="1" applyFont="1" applyFill="1" applyBorder="1" applyAlignment="1">
      <alignment horizontal="center" vertical="top" wrapText="1"/>
    </xf>
    <xf numFmtId="3" fontId="58" fillId="33" borderId="25" xfId="0" applyNumberFormat="1" applyFont="1" applyFill="1" applyBorder="1" applyAlignment="1">
      <alignment horizontal="center" vertical="top"/>
    </xf>
    <xf numFmtId="49" fontId="55" fillId="38" borderId="25" xfId="0" applyNumberFormat="1" applyFont="1" applyFill="1" applyBorder="1" applyAlignment="1">
      <alignment horizontal="center"/>
    </xf>
    <xf numFmtId="49" fontId="55" fillId="45" borderId="25" xfId="53" applyNumberFormat="1" applyFont="1" applyFill="1" applyBorder="1" applyAlignment="1">
      <alignment horizontal="center" vertical="top" wrapText="1"/>
    </xf>
    <xf numFmtId="49" fontId="55" fillId="45" borderId="25" xfId="0" applyNumberFormat="1" applyFont="1" applyFill="1" applyBorder="1" applyAlignment="1">
      <alignment horizontal="center"/>
    </xf>
    <xf numFmtId="167" fontId="55" fillId="0" borderId="25" xfId="47" applyNumberFormat="1" applyFont="1" applyFill="1" applyBorder="1" applyAlignment="1">
      <alignment horizontal="center" vertical="top" wrapText="1"/>
    </xf>
    <xf numFmtId="49" fontId="56" fillId="0" borderId="25" xfId="48" applyNumberFormat="1" applyFont="1" applyFill="1" applyBorder="1" applyAlignment="1">
      <alignment horizontal="center" wrapText="1"/>
    </xf>
    <xf numFmtId="49" fontId="56" fillId="0" borderId="25" xfId="48" applyNumberFormat="1" applyFont="1" applyFill="1" applyBorder="1" applyAlignment="1">
      <alignment horizontal="center"/>
    </xf>
    <xf numFmtId="0" fontId="55" fillId="42" borderId="25" xfId="49" applyNumberFormat="1" applyFont="1" applyFill="1" applyBorder="1" applyAlignment="1">
      <alignment wrapText="1"/>
    </xf>
    <xf numFmtId="14" fontId="58" fillId="42" borderId="25" xfId="49" applyNumberFormat="1" applyFont="1" applyFill="1" applyBorder="1" applyAlignment="1">
      <alignment horizontal="left" wrapText="1"/>
    </xf>
    <xf numFmtId="0" fontId="58" fillId="0" borderId="25" xfId="0" applyNumberFormat="1" applyFont="1" applyBorder="1" applyAlignment="1">
      <alignment horizontal="center"/>
    </xf>
    <xf numFmtId="49" fontId="58" fillId="0" borderId="25" xfId="0" applyNumberFormat="1" applyFont="1" applyBorder="1" applyAlignment="1">
      <alignment horizontal="center"/>
    </xf>
    <xf numFmtId="0" fontId="58" fillId="0" borderId="25" xfId="0" applyNumberFormat="1" applyFont="1" applyBorder="1" applyAlignment="1">
      <alignment wrapText="1"/>
    </xf>
    <xf numFmtId="167" fontId="58" fillId="0" borderId="25" xfId="48" applyNumberFormat="1" applyFont="1" applyFill="1" applyBorder="1" applyAlignment="1"/>
    <xf numFmtId="0" fontId="56" fillId="33" borderId="25" xfId="48" quotePrefix="1" applyNumberFormat="1" applyFont="1" applyFill="1" applyBorder="1" applyAlignment="1">
      <alignment horizontal="center" wrapText="1"/>
    </xf>
    <xf numFmtId="43" fontId="55" fillId="0" borderId="25" xfId="48" applyFont="1" applyFill="1" applyBorder="1" applyAlignment="1">
      <alignment horizontal="center" wrapText="1"/>
    </xf>
    <xf numFmtId="49" fontId="55" fillId="33" borderId="25" xfId="48" applyNumberFormat="1" applyFont="1" applyFill="1" applyBorder="1" applyAlignment="1">
      <alignment horizontal="center" vertical="top" wrapText="1"/>
    </xf>
    <xf numFmtId="0" fontId="55" fillId="0" borderId="67" xfId="55" applyNumberFormat="1" applyFont="1" applyFill="1" applyBorder="1" applyAlignment="1">
      <alignment horizontal="center" vertical="top"/>
    </xf>
    <xf numFmtId="0" fontId="55" fillId="42" borderId="67" xfId="55" applyNumberFormat="1" applyFont="1" applyFill="1" applyBorder="1" applyAlignment="1">
      <alignment horizontal="left" vertical="top"/>
    </xf>
    <xf numFmtId="0" fontId="55" fillId="47" borderId="25" xfId="0" applyFont="1" applyFill="1" applyBorder="1" applyAlignment="1">
      <alignment horizontal="center" vertical="top"/>
    </xf>
    <xf numFmtId="0" fontId="55" fillId="47" borderId="25" xfId="0" quotePrefix="1" applyFont="1" applyFill="1" applyBorder="1" applyAlignment="1">
      <alignment horizontal="center" vertical="top"/>
    </xf>
    <xf numFmtId="0" fontId="55" fillId="33" borderId="25" xfId="50" applyFont="1" applyFill="1" applyBorder="1" applyAlignment="1">
      <alignment horizontal="center" vertical="top"/>
    </xf>
    <xf numFmtId="0" fontId="59" fillId="45" borderId="25" xfId="0" applyFont="1" applyFill="1" applyBorder="1" applyAlignment="1">
      <alignment horizontal="left" vertical="center" wrapText="1"/>
    </xf>
    <xf numFmtId="168" fontId="58" fillId="0" borderId="0" xfId="56" applyNumberFormat="1" applyFont="1" applyAlignment="1">
      <alignment vertical="top"/>
    </xf>
    <xf numFmtId="49" fontId="56" fillId="41" borderId="25" xfId="48" applyNumberFormat="1" applyFont="1" applyFill="1" applyBorder="1" applyAlignment="1">
      <alignment horizontal="center" wrapText="1"/>
    </xf>
    <xf numFmtId="0" fontId="55" fillId="41" borderId="25" xfId="48" applyNumberFormat="1" applyFont="1" applyFill="1" applyBorder="1" applyAlignment="1">
      <alignment horizontal="center" wrapText="1"/>
    </xf>
    <xf numFmtId="43" fontId="56" fillId="41" borderId="25" xfId="48" applyFont="1" applyFill="1" applyBorder="1" applyAlignment="1">
      <alignment wrapText="1"/>
    </xf>
    <xf numFmtId="0" fontId="55" fillId="41" borderId="25" xfId="48" quotePrefix="1" applyNumberFormat="1" applyFont="1" applyFill="1" applyBorder="1" applyAlignment="1">
      <alignment horizontal="center" wrapText="1"/>
    </xf>
    <xf numFmtId="49" fontId="55" fillId="41" borderId="25" xfId="48" applyNumberFormat="1" applyFont="1" applyFill="1" applyBorder="1" applyAlignment="1">
      <alignment horizontal="center" wrapText="1"/>
    </xf>
    <xf numFmtId="167" fontId="55" fillId="41" borderId="25" xfId="48" applyNumberFormat="1" applyFont="1" applyFill="1" applyBorder="1" applyAlignment="1"/>
    <xf numFmtId="0" fontId="55" fillId="0" borderId="25" xfId="55" applyNumberFormat="1" applyFont="1" applyFill="1" applyBorder="1" applyAlignment="1">
      <alignment horizontal="center"/>
    </xf>
    <xf numFmtId="0" fontId="55" fillId="42" borderId="67" xfId="55" applyNumberFormat="1" applyFont="1" applyFill="1" applyBorder="1" applyAlignment="1">
      <alignment horizontal="left" wrapText="1"/>
    </xf>
    <xf numFmtId="0" fontId="55" fillId="0" borderId="68" xfId="55" applyNumberFormat="1" applyFont="1" applyFill="1" applyBorder="1" applyAlignment="1">
      <alignment horizontal="center"/>
    </xf>
    <xf numFmtId="0" fontId="55" fillId="0" borderId="25" xfId="48" quotePrefix="1" applyNumberFormat="1" applyFont="1" applyFill="1" applyBorder="1" applyAlignment="1">
      <alignment horizontal="center" wrapText="1"/>
    </xf>
    <xf numFmtId="167" fontId="55" fillId="42" borderId="25" xfId="48" applyNumberFormat="1" applyFont="1" applyFill="1" applyBorder="1" applyAlignment="1"/>
    <xf numFmtId="43" fontId="55" fillId="0" borderId="25" xfId="48" applyFont="1" applyFill="1" applyBorder="1" applyAlignment="1">
      <alignment vertical="top" wrapText="1"/>
    </xf>
    <xf numFmtId="49" fontId="58" fillId="0" borderId="25" xfId="49" applyNumberFormat="1" applyFont="1" applyFill="1" applyBorder="1" applyAlignment="1">
      <alignment horizontal="center"/>
    </xf>
    <xf numFmtId="0" fontId="58" fillId="0" borderId="25" xfId="49" applyFont="1" applyFill="1" applyBorder="1" applyAlignment="1">
      <alignment wrapText="1"/>
    </xf>
    <xf numFmtId="0" fontId="58" fillId="0" borderId="0" xfId="49" applyFont="1" applyAlignment="1">
      <alignment horizontal="center" vertical="top"/>
    </xf>
    <xf numFmtId="49" fontId="58" fillId="0" borderId="0" xfId="49" applyNumberFormat="1" applyFont="1" applyAlignment="1">
      <alignment vertical="top"/>
    </xf>
    <xf numFmtId="0" fontId="58" fillId="0" borderId="0" xfId="49" applyFont="1" applyAlignment="1">
      <alignment vertical="top" wrapText="1"/>
    </xf>
    <xf numFmtId="0" fontId="64" fillId="0" borderId="0" xfId="0" applyFont="1" applyAlignment="1">
      <alignment vertical="center"/>
    </xf>
    <xf numFmtId="0" fontId="33" fillId="0" borderId="0" xfId="0" applyFont="1" applyAlignment="1">
      <alignment vertical="center"/>
    </xf>
    <xf numFmtId="0" fontId="36" fillId="0" borderId="47" xfId="0" applyFont="1" applyBorder="1" applyAlignment="1">
      <alignment vertical="center"/>
    </xf>
    <xf numFmtId="0" fontId="33" fillId="0" borderId="47" xfId="0" applyFont="1" applyBorder="1" applyAlignment="1">
      <alignment horizontal="right" vertical="center"/>
    </xf>
    <xf numFmtId="0" fontId="33" fillId="0" borderId="0" xfId="0" applyFont="1" applyBorder="1" applyAlignment="1">
      <alignment vertical="center"/>
    </xf>
    <xf numFmtId="0" fontId="36" fillId="0" borderId="0" xfId="0" applyFont="1" applyBorder="1" applyAlignment="1">
      <alignment vertical="center"/>
    </xf>
    <xf numFmtId="0" fontId="33" fillId="0" borderId="0" xfId="0" applyFont="1" applyBorder="1" applyAlignment="1">
      <alignment horizontal="right" vertical="center"/>
    </xf>
    <xf numFmtId="0" fontId="65" fillId="39" borderId="43" xfId="0" applyFont="1" applyFill="1" applyBorder="1" applyAlignment="1">
      <alignment horizontal="center" vertical="center"/>
    </xf>
    <xf numFmtId="0" fontId="36" fillId="0" borderId="0" xfId="0" applyFont="1" applyAlignment="1">
      <alignment vertical="center"/>
    </xf>
    <xf numFmtId="0" fontId="36" fillId="46" borderId="43" xfId="0" applyFont="1" applyFill="1" applyBorder="1" applyAlignment="1">
      <alignment horizontal="center" vertical="center"/>
    </xf>
    <xf numFmtId="49" fontId="33" fillId="0" borderId="47" xfId="0" applyNumberFormat="1" applyFont="1" applyBorder="1" applyAlignment="1">
      <alignment horizontal="right" vertical="center"/>
    </xf>
    <xf numFmtId="0" fontId="33" fillId="0" borderId="0" xfId="0" applyFont="1" applyAlignment="1">
      <alignment vertical="top"/>
    </xf>
    <xf numFmtId="0" fontId="33" fillId="0" borderId="46" xfId="0" applyFont="1" applyBorder="1" applyAlignment="1">
      <alignment vertical="center"/>
    </xf>
    <xf numFmtId="0" fontId="36" fillId="0" borderId="47" xfId="0" applyFont="1" applyBorder="1" applyAlignment="1">
      <alignment horizontal="center" vertical="center"/>
    </xf>
    <xf numFmtId="0" fontId="66" fillId="39" borderId="66" xfId="0" applyFont="1" applyFill="1" applyBorder="1" applyAlignment="1">
      <alignment horizontal="center" vertical="center"/>
    </xf>
    <xf numFmtId="0" fontId="66" fillId="46" borderId="66" xfId="0" applyFont="1" applyFill="1" applyBorder="1" applyAlignment="1">
      <alignment horizontal="center" vertical="center"/>
    </xf>
    <xf numFmtId="0" fontId="33" fillId="0" borderId="47" xfId="0" applyFont="1" applyBorder="1" applyAlignment="1">
      <alignment vertical="center"/>
    </xf>
    <xf numFmtId="166" fontId="66" fillId="39" borderId="25" xfId="0" applyNumberFormat="1" applyFont="1" applyFill="1" applyBorder="1" applyAlignment="1">
      <alignment vertical="center"/>
    </xf>
    <xf numFmtId="166" fontId="66" fillId="46" borderId="25" xfId="0" applyNumberFormat="1" applyFont="1" applyFill="1" applyBorder="1" applyAlignment="1">
      <alignment vertical="center"/>
    </xf>
    <xf numFmtId="166" fontId="67" fillId="0" borderId="25" xfId="0" applyNumberFormat="1" applyFont="1" applyFill="1" applyBorder="1" applyAlignment="1">
      <alignment vertical="center"/>
    </xf>
    <xf numFmtId="166" fontId="67" fillId="46" borderId="25" xfId="0" applyNumberFormat="1" applyFont="1" applyFill="1" applyBorder="1" applyAlignment="1">
      <alignment vertical="center"/>
    </xf>
    <xf numFmtId="166" fontId="66" fillId="48" borderId="25" xfId="0" applyNumberFormat="1" applyFont="1" applyFill="1" applyBorder="1" applyAlignment="1">
      <alignment vertical="center"/>
    </xf>
    <xf numFmtId="3" fontId="67" fillId="39" borderId="25" xfId="0" applyNumberFormat="1" applyFont="1" applyFill="1" applyBorder="1" applyAlignment="1">
      <alignment vertical="center"/>
    </xf>
    <xf numFmtId="3" fontId="66" fillId="39" borderId="25" xfId="0" applyNumberFormat="1" applyFont="1" applyFill="1" applyBorder="1" applyAlignment="1">
      <alignment vertical="center"/>
    </xf>
    <xf numFmtId="3" fontId="67" fillId="46" borderId="25" xfId="0" applyNumberFormat="1" applyFont="1" applyFill="1" applyBorder="1" applyAlignment="1">
      <alignment vertical="center"/>
    </xf>
    <xf numFmtId="166" fontId="67" fillId="39" borderId="25" xfId="0" applyNumberFormat="1" applyFont="1" applyFill="1" applyBorder="1" applyAlignment="1">
      <alignment vertical="center"/>
    </xf>
    <xf numFmtId="3" fontId="66" fillId="0" borderId="25" xfId="0" applyNumberFormat="1" applyFont="1" applyFill="1" applyBorder="1" applyAlignment="1">
      <alignment vertical="center"/>
    </xf>
    <xf numFmtId="3" fontId="66" fillId="46" borderId="25" xfId="0" applyNumberFormat="1" applyFont="1" applyFill="1" applyBorder="1" applyAlignment="1">
      <alignment vertical="center"/>
    </xf>
    <xf numFmtId="3" fontId="67" fillId="49" borderId="25" xfId="0" applyNumberFormat="1" applyFont="1" applyFill="1" applyBorder="1" applyAlignment="1">
      <alignment vertical="center"/>
    </xf>
    <xf numFmtId="166" fontId="67" fillId="49" borderId="25" xfId="0" applyNumberFormat="1" applyFont="1" applyFill="1" applyBorder="1" applyAlignment="1">
      <alignment vertical="center"/>
    </xf>
    <xf numFmtId="166" fontId="66" fillId="49" borderId="25" xfId="0" applyNumberFormat="1" applyFont="1" applyFill="1" applyBorder="1" applyAlignment="1">
      <alignment vertical="center"/>
    </xf>
    <xf numFmtId="166" fontId="66" fillId="0" borderId="25" xfId="0" applyNumberFormat="1" applyFont="1" applyFill="1" applyBorder="1" applyAlignment="1">
      <alignment vertical="center"/>
    </xf>
    <xf numFmtId="49" fontId="33" fillId="0" borderId="0" xfId="0" applyNumberFormat="1" applyFont="1" applyBorder="1" applyAlignment="1">
      <alignment horizontal="right" vertical="center"/>
    </xf>
    <xf numFmtId="0" fontId="36" fillId="0" borderId="44" xfId="0" applyFont="1" applyBorder="1" applyAlignment="1">
      <alignment horizontal="left" vertical="center"/>
    </xf>
    <xf numFmtId="0" fontId="36" fillId="0" borderId="43" xfId="0" applyFont="1" applyBorder="1" applyAlignment="1">
      <alignment horizontal="left" vertical="center"/>
    </xf>
    <xf numFmtId="0" fontId="36" fillId="0" borderId="45" xfId="0" applyFont="1" applyBorder="1" applyAlignment="1">
      <alignment horizontal="left" vertical="center"/>
    </xf>
    <xf numFmtId="166" fontId="67" fillId="50" borderId="25" xfId="0" applyNumberFormat="1" applyFont="1" applyFill="1" applyBorder="1" applyAlignment="1">
      <alignment vertical="center"/>
    </xf>
    <xf numFmtId="3" fontId="66" fillId="43" borderId="25" xfId="0" applyNumberFormat="1" applyFont="1" applyFill="1" applyBorder="1" applyAlignment="1">
      <alignment vertical="center"/>
    </xf>
    <xf numFmtId="166" fontId="68" fillId="50" borderId="25" xfId="0" applyNumberFormat="1" applyFont="1" applyFill="1" applyBorder="1" applyAlignment="1">
      <alignment vertical="center"/>
    </xf>
    <xf numFmtId="166" fontId="68" fillId="46" borderId="25" xfId="0" applyNumberFormat="1" applyFont="1" applyFill="1" applyBorder="1" applyAlignment="1">
      <alignment vertical="center"/>
    </xf>
    <xf numFmtId="166" fontId="66" fillId="43" borderId="25" xfId="57" applyNumberFormat="1" applyFont="1" applyFill="1" applyBorder="1" applyAlignment="1">
      <alignment vertical="center"/>
    </xf>
    <xf numFmtId="3" fontId="33" fillId="39" borderId="47" xfId="0" applyNumberFormat="1" applyFont="1" applyFill="1" applyBorder="1" applyAlignment="1">
      <alignment vertical="center"/>
    </xf>
    <xf numFmtId="3" fontId="36" fillId="39" borderId="47" xfId="0" applyNumberFormat="1" applyFont="1" applyFill="1" applyBorder="1" applyAlignment="1">
      <alignment vertical="center"/>
    </xf>
    <xf numFmtId="0" fontId="36" fillId="39" borderId="0" xfId="0" applyFont="1" applyFill="1" applyAlignment="1">
      <alignment vertical="center"/>
    </xf>
    <xf numFmtId="0" fontId="67" fillId="0" borderId="25" xfId="0" applyFont="1" applyBorder="1" applyAlignment="1">
      <alignment vertical="center"/>
    </xf>
    <xf numFmtId="0" fontId="67" fillId="0" borderId="60" xfId="0" applyFont="1" applyBorder="1" applyAlignment="1">
      <alignment horizontal="center" vertical="center"/>
    </xf>
    <xf numFmtId="0" fontId="67" fillId="0" borderId="62" xfId="0" applyFont="1" applyBorder="1" applyAlignment="1">
      <alignment horizontal="center" vertical="center"/>
    </xf>
    <xf numFmtId="0" fontId="69" fillId="0" borderId="0" xfId="0" applyFont="1" applyAlignment="1">
      <alignment vertical="top"/>
    </xf>
    <xf numFmtId="0" fontId="44" fillId="0" borderId="0" xfId="0" applyFont="1" applyAlignment="1">
      <alignment vertical="top"/>
    </xf>
    <xf numFmtId="0" fontId="44" fillId="0" borderId="54" xfId="0" applyFont="1" applyBorder="1" applyAlignment="1">
      <alignment vertical="top"/>
    </xf>
    <xf numFmtId="0" fontId="44" fillId="0" borderId="52" xfId="0" applyFont="1" applyBorder="1" applyAlignment="1">
      <alignment vertical="top"/>
    </xf>
    <xf numFmtId="0" fontId="28" fillId="39" borderId="17" xfId="0" applyFont="1" applyFill="1" applyBorder="1" applyAlignment="1">
      <alignment vertical="top" wrapText="1"/>
    </xf>
    <xf numFmtId="4" fontId="44" fillId="0" borderId="0" xfId="0" applyNumberFormat="1" applyFont="1" applyAlignment="1">
      <alignment vertical="top"/>
    </xf>
    <xf numFmtId="0" fontId="18" fillId="33" borderId="17" xfId="0" applyFont="1" applyFill="1" applyBorder="1" applyAlignment="1">
      <alignment vertical="top" wrapText="1"/>
    </xf>
    <xf numFmtId="165" fontId="18" fillId="39" borderId="16" xfId="43" applyNumberFormat="1" applyFont="1" applyFill="1" applyBorder="1" applyAlignment="1">
      <alignment horizontal="center" vertical="top"/>
    </xf>
    <xf numFmtId="1" fontId="18" fillId="33" borderId="16" xfId="0" applyNumberFormat="1" applyFont="1" applyFill="1" applyBorder="1" applyAlignment="1">
      <alignment horizontal="center" vertical="top"/>
    </xf>
    <xf numFmtId="165" fontId="18" fillId="33" borderId="16" xfId="43" applyNumberFormat="1" applyFont="1" applyFill="1" applyBorder="1" applyAlignment="1">
      <alignment horizontal="center" vertical="top"/>
    </xf>
    <xf numFmtId="0" fontId="48" fillId="39" borderId="17" xfId="0" applyFont="1" applyFill="1" applyBorder="1" applyAlignment="1">
      <alignment horizontal="left" vertical="top" wrapText="1"/>
    </xf>
    <xf numFmtId="0" fontId="18" fillId="39" borderId="17" xfId="0" applyFont="1" applyFill="1" applyBorder="1" applyAlignment="1">
      <alignment horizontal="left" vertical="top" wrapText="1"/>
    </xf>
    <xf numFmtId="0" fontId="28" fillId="33" borderId="18" xfId="0" applyFont="1" applyFill="1" applyBorder="1" applyAlignment="1">
      <alignment horizontal="center" vertical="top" wrapText="1"/>
    </xf>
    <xf numFmtId="0" fontId="28" fillId="33" borderId="16" xfId="0" applyFont="1" applyFill="1" applyBorder="1" applyAlignment="1">
      <alignment horizontal="center" vertical="top" wrapText="1"/>
    </xf>
    <xf numFmtId="3" fontId="18" fillId="39" borderId="17" xfId="0" applyNumberFormat="1" applyFont="1" applyFill="1" applyBorder="1" applyAlignment="1">
      <alignment horizontal="center" vertical="top" wrapText="1"/>
    </xf>
    <xf numFmtId="3" fontId="18" fillId="33" borderId="17" xfId="0" applyNumberFormat="1" applyFont="1" applyFill="1" applyBorder="1" applyAlignment="1">
      <alignment horizontal="center" vertical="top" wrapText="1"/>
    </xf>
    <xf numFmtId="165" fontId="18" fillId="33" borderId="16" xfId="0" applyNumberFormat="1" applyFont="1" applyFill="1" applyBorder="1" applyAlignment="1">
      <alignment horizontal="center" vertical="top"/>
    </xf>
    <xf numFmtId="3" fontId="44" fillId="0" borderId="0" xfId="0" applyNumberFormat="1" applyFont="1" applyAlignment="1">
      <alignment vertical="top"/>
    </xf>
    <xf numFmtId="0" fontId="18" fillId="0" borderId="17" xfId="0" applyFont="1" applyBorder="1" applyAlignment="1">
      <alignment horizontal="left" vertical="top" wrapText="1"/>
    </xf>
    <xf numFmtId="3" fontId="18" fillId="0" borderId="16" xfId="0" applyNumberFormat="1" applyFont="1" applyBorder="1" applyAlignment="1">
      <alignment horizontal="center" vertical="top"/>
    </xf>
    <xf numFmtId="3" fontId="46" fillId="0" borderId="16" xfId="0" applyNumberFormat="1" applyFont="1" applyBorder="1" applyAlignment="1">
      <alignment horizontal="center" vertical="top"/>
    </xf>
    <xf numFmtId="3" fontId="46" fillId="39" borderId="16" xfId="0" applyNumberFormat="1" applyFont="1" applyFill="1" applyBorder="1" applyAlignment="1">
      <alignment horizontal="center" vertical="top"/>
    </xf>
    <xf numFmtId="0" fontId="47" fillId="0" borderId="21" xfId="0" applyFont="1" applyBorder="1" applyAlignment="1">
      <alignment horizontal="left" vertical="top" wrapText="1"/>
    </xf>
    <xf numFmtId="0" fontId="39" fillId="35" borderId="17" xfId="0" applyFont="1" applyFill="1" applyBorder="1" applyAlignment="1">
      <alignment vertical="top" wrapText="1"/>
    </xf>
    <xf numFmtId="3" fontId="28" fillId="35" borderId="16" xfId="0" applyNumberFormat="1" applyFont="1" applyFill="1" applyBorder="1" applyAlignment="1">
      <alignment horizontal="center" vertical="top"/>
    </xf>
    <xf numFmtId="1" fontId="18" fillId="33" borderId="16" xfId="43" applyNumberFormat="1" applyFont="1" applyFill="1" applyBorder="1" applyAlignment="1">
      <alignment horizontal="center" vertical="top"/>
    </xf>
    <xf numFmtId="0" fontId="39" fillId="39" borderId="17" xfId="0" applyFont="1" applyFill="1" applyBorder="1" applyAlignment="1">
      <alignment vertical="top" wrapText="1"/>
    </xf>
    <xf numFmtId="0" fontId="39" fillId="0" borderId="21" xfId="0" applyFont="1" applyBorder="1" applyAlignment="1">
      <alignment horizontal="left" vertical="top" wrapText="1"/>
    </xf>
    <xf numFmtId="1" fontId="28" fillId="33" borderId="16" xfId="0" applyNumberFormat="1" applyFont="1" applyFill="1" applyBorder="1" applyAlignment="1">
      <alignment horizontal="center" vertical="top"/>
    </xf>
    <xf numFmtId="168" fontId="28" fillId="39" borderId="16" xfId="45" applyNumberFormat="1" applyFont="1" applyFill="1" applyBorder="1" applyAlignment="1">
      <alignment horizontal="left" vertical="top" wrapText="1"/>
    </xf>
    <xf numFmtId="0" fontId="69" fillId="38" borderId="0" xfId="0" applyFont="1" applyFill="1" applyAlignment="1">
      <alignment vertical="top"/>
    </xf>
    <xf numFmtId="0" fontId="18" fillId="34" borderId="17" xfId="0" applyFont="1" applyFill="1" applyBorder="1" applyAlignment="1">
      <alignment horizontal="left" vertical="top" wrapText="1"/>
    </xf>
    <xf numFmtId="0" fontId="39" fillId="34" borderId="17" xfId="0" applyFont="1" applyFill="1" applyBorder="1" applyAlignment="1">
      <alignment horizontal="left" vertical="top" wrapText="1"/>
    </xf>
    <xf numFmtId="0" fontId="18" fillId="34" borderId="20" xfId="0" applyFont="1" applyFill="1" applyBorder="1" applyAlignment="1">
      <alignment horizontal="left" vertical="top" wrapText="1"/>
    </xf>
    <xf numFmtId="0" fontId="39" fillId="36" borderId="17" xfId="0" applyFont="1" applyFill="1" applyBorder="1" applyAlignment="1">
      <alignment vertical="top" wrapText="1"/>
    </xf>
    <xf numFmtId="3" fontId="28" fillId="36" borderId="16" xfId="0" applyNumberFormat="1" applyFont="1" applyFill="1" applyBorder="1" applyAlignment="1">
      <alignment horizontal="center" vertical="top"/>
    </xf>
    <xf numFmtId="0" fontId="28" fillId="34" borderId="17" xfId="0" applyFont="1" applyFill="1" applyBorder="1" applyAlignment="1">
      <alignment vertical="top" wrapText="1"/>
    </xf>
    <xf numFmtId="3" fontId="28" fillId="34" borderId="16" xfId="0" applyNumberFormat="1" applyFont="1" applyFill="1" applyBorder="1" applyAlignment="1">
      <alignment horizontal="center" vertical="top"/>
    </xf>
    <xf numFmtId="0" fontId="49" fillId="33" borderId="17" xfId="0" applyFont="1" applyFill="1" applyBorder="1" applyAlignment="1">
      <alignment vertical="top" wrapText="1"/>
    </xf>
    <xf numFmtId="3" fontId="49" fillId="33" borderId="16" xfId="0" applyNumberFormat="1" applyFont="1" applyFill="1" applyBorder="1" applyAlignment="1">
      <alignment horizontal="center" vertical="top"/>
    </xf>
    <xf numFmtId="165" fontId="49" fillId="0" borderId="16" xfId="0" applyNumberFormat="1" applyFont="1" applyBorder="1" applyAlignment="1">
      <alignment horizontal="center" vertical="top"/>
    </xf>
    <xf numFmtId="0" fontId="46" fillId="0" borderId="17" xfId="0" applyFont="1" applyBorder="1" applyAlignment="1">
      <alignment horizontal="left" vertical="top" wrapText="1"/>
    </xf>
    <xf numFmtId="165" fontId="46" fillId="0" borderId="16" xfId="0" applyNumberFormat="1" applyFont="1" applyBorder="1" applyAlignment="1">
      <alignment horizontal="center" vertical="top"/>
    </xf>
    <xf numFmtId="0" fontId="28" fillId="0" borderId="17" xfId="0" applyFont="1" applyBorder="1" applyAlignment="1">
      <alignment horizontal="left" vertical="top" wrapText="1"/>
    </xf>
    <xf numFmtId="0" fontId="28" fillId="0" borderId="0" xfId="0" applyFont="1" applyBorder="1" applyAlignment="1">
      <alignment horizontal="left" vertical="top" wrapText="1"/>
    </xf>
    <xf numFmtId="3" fontId="18" fillId="0" borderId="0" xfId="0" applyNumberFormat="1" applyFont="1" applyBorder="1" applyAlignment="1">
      <alignment horizontal="center" vertical="top"/>
    </xf>
    <xf numFmtId="0" fontId="48" fillId="0" borderId="0" xfId="0" applyFont="1" applyBorder="1" applyAlignment="1">
      <alignment vertical="top"/>
    </xf>
    <xf numFmtId="0" fontId="28" fillId="0" borderId="0" xfId="0" applyFont="1" applyAlignment="1">
      <alignment vertical="top"/>
    </xf>
    <xf numFmtId="0" fontId="48" fillId="0" borderId="0" xfId="0" applyFont="1" applyBorder="1" applyAlignment="1">
      <alignment horizontal="center" vertical="top" wrapText="1"/>
    </xf>
    <xf numFmtId="0" fontId="18" fillId="39" borderId="17" xfId="0" applyFont="1" applyFill="1" applyBorder="1" applyAlignment="1">
      <alignment vertical="top" wrapText="1"/>
    </xf>
    <xf numFmtId="9" fontId="18" fillId="39" borderId="16" xfId="43" applyFont="1" applyFill="1" applyBorder="1" applyAlignment="1">
      <alignment horizontal="center" vertical="top"/>
    </xf>
    <xf numFmtId="1" fontId="18" fillId="39" borderId="16" xfId="43" applyNumberFormat="1" applyFont="1" applyFill="1" applyBorder="1" applyAlignment="1">
      <alignment horizontal="center" vertical="top"/>
    </xf>
    <xf numFmtId="0" fontId="48" fillId="35" borderId="17" xfId="0" applyFont="1" applyFill="1" applyBorder="1" applyAlignment="1">
      <alignment vertical="top" wrapText="1"/>
    </xf>
    <xf numFmtId="168" fontId="18" fillId="33" borderId="16" xfId="45" applyNumberFormat="1" applyFont="1" applyFill="1" applyBorder="1" applyAlignment="1">
      <alignment horizontal="center" vertical="top"/>
    </xf>
    <xf numFmtId="168" fontId="18" fillId="39" borderId="16" xfId="45" applyNumberFormat="1" applyFont="1" applyFill="1" applyBorder="1" applyAlignment="1">
      <alignment horizontal="center" vertical="top"/>
    </xf>
    <xf numFmtId="165" fontId="18" fillId="44" borderId="16" xfId="43" applyNumberFormat="1" applyFont="1" applyFill="1" applyBorder="1" applyAlignment="1">
      <alignment horizontal="center" vertical="top"/>
    </xf>
    <xf numFmtId="0" fontId="18" fillId="44" borderId="17" xfId="0" applyFont="1" applyFill="1" applyBorder="1" applyAlignment="1">
      <alignment vertical="top" wrapText="1"/>
    </xf>
    <xf numFmtId="1" fontId="18" fillId="39" borderId="16" xfId="0" applyNumberFormat="1" applyFont="1" applyFill="1" applyBorder="1" applyAlignment="1">
      <alignment horizontal="center" vertical="top"/>
    </xf>
    <xf numFmtId="0" fontId="44" fillId="0" borderId="0" xfId="0" applyFont="1" applyAlignment="1">
      <alignment vertical="top" wrapText="1"/>
    </xf>
    <xf numFmtId="0" fontId="42" fillId="0" borderId="47" xfId="0" applyFont="1" applyFill="1" applyBorder="1" applyAlignment="1">
      <alignment vertical="top" wrapText="1"/>
    </xf>
    <xf numFmtId="0" fontId="42" fillId="0" borderId="44" xfId="0" applyFont="1" applyFill="1" applyBorder="1" applyAlignment="1">
      <alignment vertical="top" wrapText="1"/>
    </xf>
    <xf numFmtId="0" fontId="42" fillId="0" borderId="49" xfId="0" applyFont="1" applyFill="1" applyBorder="1" applyAlignment="1">
      <alignment vertical="top" wrapText="1"/>
    </xf>
    <xf numFmtId="0" fontId="48" fillId="0" borderId="0" xfId="0" applyFont="1" applyBorder="1" applyAlignment="1">
      <alignment vertical="top" wrapText="1"/>
    </xf>
    <xf numFmtId="0" fontId="39" fillId="35" borderId="26" xfId="0" applyFont="1" applyFill="1" applyBorder="1" applyAlignment="1">
      <alignment vertical="top" wrapText="1"/>
    </xf>
    <xf numFmtId="0" fontId="69" fillId="39" borderId="0" xfId="0" applyFont="1" applyFill="1" applyAlignment="1">
      <alignment vertical="top"/>
    </xf>
    <xf numFmtId="3" fontId="28" fillId="35" borderId="13" xfId="0" applyNumberFormat="1" applyFont="1" applyFill="1" applyBorder="1" applyAlignment="1">
      <alignment horizontal="center" vertical="top"/>
    </xf>
    <xf numFmtId="0" fontId="28" fillId="44" borderId="17" xfId="0" applyFont="1" applyFill="1" applyBorder="1" applyAlignment="1">
      <alignment horizontal="left" vertical="top" wrapText="1"/>
    </xf>
    <xf numFmtId="0" fontId="47" fillId="39" borderId="21" xfId="0" applyFont="1" applyFill="1" applyBorder="1" applyAlignment="1">
      <alignment horizontal="left" vertical="top" wrapText="1"/>
    </xf>
    <xf numFmtId="3" fontId="18" fillId="39" borderId="16" xfId="0" applyNumberFormat="1" applyFont="1" applyFill="1" applyBorder="1" applyAlignment="1">
      <alignment horizontal="center" vertical="top"/>
    </xf>
    <xf numFmtId="166" fontId="18" fillId="39" borderId="16" xfId="0" applyNumberFormat="1" applyFont="1" applyFill="1" applyBorder="1" applyAlignment="1">
      <alignment horizontal="center" vertical="top"/>
    </xf>
    <xf numFmtId="0" fontId="28" fillId="39" borderId="18" xfId="0" applyFont="1" applyFill="1" applyBorder="1" applyAlignment="1">
      <alignment horizontal="center" vertical="top" wrapText="1"/>
    </xf>
    <xf numFmtId="168" fontId="44" fillId="0" borderId="0" xfId="0" applyNumberFormat="1" applyFont="1" applyAlignment="1">
      <alignment vertical="top"/>
    </xf>
    <xf numFmtId="164" fontId="44" fillId="0" borderId="0" xfId="0" applyNumberFormat="1" applyFont="1" applyAlignment="1">
      <alignment vertical="top"/>
    </xf>
    <xf numFmtId="170" fontId="18" fillId="39" borderId="16" xfId="0" applyNumberFormat="1" applyFont="1" applyFill="1" applyBorder="1" applyAlignment="1">
      <alignment horizontal="center" vertical="top"/>
    </xf>
    <xf numFmtId="169" fontId="28" fillId="39" borderId="16" xfId="45" applyNumberFormat="1" applyFont="1" applyFill="1" applyBorder="1" applyAlignment="1">
      <alignment horizontal="left" vertical="top" wrapText="1"/>
    </xf>
    <xf numFmtId="166" fontId="18" fillId="0" borderId="16" xfId="0" applyNumberFormat="1" applyFont="1" applyBorder="1" applyAlignment="1">
      <alignment horizontal="center" vertical="top"/>
    </xf>
    <xf numFmtId="166" fontId="46" fillId="0" borderId="16" xfId="0" applyNumberFormat="1" applyFont="1" applyBorder="1" applyAlignment="1">
      <alignment horizontal="center" vertical="top"/>
    </xf>
    <xf numFmtId="0" fontId="71" fillId="0" borderId="37" xfId="0" applyFont="1" applyBorder="1" applyAlignment="1">
      <alignment vertical="top" wrapText="1"/>
    </xf>
    <xf numFmtId="0" fontId="71" fillId="0" borderId="36" xfId="0" applyFont="1" applyBorder="1" applyAlignment="1">
      <alignment vertical="top"/>
    </xf>
    <xf numFmtId="0" fontId="71" fillId="0" borderId="37" xfId="0" applyFont="1" applyBorder="1" applyAlignment="1">
      <alignment vertical="top"/>
    </xf>
    <xf numFmtId="0" fontId="71" fillId="0" borderId="39" xfId="0" applyFont="1" applyBorder="1" applyAlignment="1">
      <alignment vertical="top" wrapText="1"/>
    </xf>
    <xf numFmtId="0" fontId="71" fillId="0" borderId="25" xfId="0" applyFont="1" applyBorder="1" applyAlignment="1">
      <alignment vertical="top"/>
    </xf>
    <xf numFmtId="0" fontId="71" fillId="0" borderId="39" xfId="0" applyFont="1" applyBorder="1" applyAlignment="1">
      <alignment vertical="top"/>
    </xf>
    <xf numFmtId="0" fontId="71" fillId="0" borderId="42" xfId="0" applyFont="1" applyBorder="1" applyAlignment="1">
      <alignment vertical="top" wrapText="1"/>
    </xf>
    <xf numFmtId="0" fontId="71" fillId="0" borderId="41" xfId="0" applyFont="1" applyBorder="1" applyAlignment="1">
      <alignment vertical="top"/>
    </xf>
    <xf numFmtId="0" fontId="71" fillId="0" borderId="42" xfId="0" applyFont="1" applyBorder="1" applyAlignment="1">
      <alignment vertical="top"/>
    </xf>
    <xf numFmtId="0" fontId="24" fillId="0" borderId="0" xfId="53" applyFont="1" applyAlignment="1">
      <alignment vertical="top"/>
    </xf>
    <xf numFmtId="0" fontId="72" fillId="0" borderId="25" xfId="53" applyFont="1" applyBorder="1" applyAlignment="1">
      <alignment vertical="top"/>
    </xf>
    <xf numFmtId="0" fontId="72" fillId="0" borderId="63" xfId="53" applyFont="1" applyBorder="1" applyAlignment="1">
      <alignment vertical="top"/>
    </xf>
    <xf numFmtId="0" fontId="72" fillId="0" borderId="64" xfId="53" applyFont="1" applyBorder="1" applyAlignment="1">
      <alignment vertical="top"/>
    </xf>
    <xf numFmtId="0" fontId="67" fillId="0" borderId="25" xfId="53" applyFont="1" applyBorder="1" applyAlignment="1">
      <alignment vertical="top"/>
    </xf>
    <xf numFmtId="0" fontId="72" fillId="0" borderId="52" xfId="53" applyFont="1" applyBorder="1" applyAlignment="1">
      <alignment vertical="top"/>
    </xf>
    <xf numFmtId="0" fontId="72" fillId="0" borderId="60" xfId="53" applyFont="1" applyBorder="1" applyAlignment="1">
      <alignment vertical="top"/>
    </xf>
    <xf numFmtId="0" fontId="72" fillId="0" borderId="62" xfId="53" applyFont="1" applyBorder="1" applyAlignment="1">
      <alignment vertical="top"/>
    </xf>
    <xf numFmtId="0" fontId="72" fillId="0" borderId="59" xfId="53" applyFont="1" applyBorder="1" applyAlignment="1">
      <alignment vertical="top"/>
    </xf>
    <xf numFmtId="0" fontId="43" fillId="40" borderId="71" xfId="53" applyFont="1" applyFill="1" applyBorder="1" applyAlignment="1">
      <alignment vertical="top"/>
    </xf>
    <xf numFmtId="0" fontId="43" fillId="40" borderId="38" xfId="53" applyFont="1" applyFill="1" applyBorder="1" applyAlignment="1">
      <alignment vertical="top"/>
    </xf>
    <xf numFmtId="49" fontId="43" fillId="0" borderId="75" xfId="53" applyNumberFormat="1" applyFont="1" applyFill="1" applyBorder="1" applyAlignment="1">
      <alignment horizontal="right" vertical="top"/>
    </xf>
    <xf numFmtId="0" fontId="43" fillId="39" borderId="71" xfId="53" applyFont="1" applyFill="1" applyBorder="1" applyAlignment="1">
      <alignment vertical="top"/>
    </xf>
    <xf numFmtId="0" fontId="43" fillId="39" borderId="38" xfId="53" applyFont="1" applyFill="1" applyBorder="1" applyAlignment="1">
      <alignment vertical="top"/>
    </xf>
    <xf numFmtId="49" fontId="43" fillId="39" borderId="75" xfId="53" applyNumberFormat="1" applyFont="1" applyFill="1" applyBorder="1" applyAlignment="1">
      <alignment horizontal="right" vertical="top"/>
    </xf>
    <xf numFmtId="166" fontId="72" fillId="0" borderId="76" xfId="53" applyNumberFormat="1" applyFont="1" applyFill="1" applyBorder="1" applyAlignment="1">
      <alignment vertical="top"/>
    </xf>
    <xf numFmtId="166" fontId="72" fillId="0" borderId="61" xfId="53" applyNumberFormat="1" applyFont="1" applyFill="1" applyBorder="1" applyAlignment="1">
      <alignment vertical="top"/>
    </xf>
    <xf numFmtId="166" fontId="73" fillId="0" borderId="60" xfId="53" applyNumberFormat="1" applyFont="1" applyFill="1" applyBorder="1" applyAlignment="1">
      <alignment vertical="top"/>
    </xf>
    <xf numFmtId="0" fontId="72" fillId="0" borderId="61" xfId="53" applyFont="1" applyBorder="1" applyAlignment="1">
      <alignment vertical="top"/>
    </xf>
    <xf numFmtId="0" fontId="73" fillId="0" borderId="60" xfId="53" applyFont="1" applyFill="1" applyBorder="1" applyAlignment="1">
      <alignment vertical="top"/>
    </xf>
    <xf numFmtId="0" fontId="42" fillId="0" borderId="77" xfId="53" applyFont="1" applyFill="1" applyBorder="1" applyAlignment="1">
      <alignment horizontal="left" vertical="top"/>
    </xf>
    <xf numFmtId="0" fontId="73" fillId="40" borderId="76" xfId="53" applyFont="1" applyFill="1" applyBorder="1" applyAlignment="1">
      <alignment horizontal="center" vertical="top"/>
    </xf>
    <xf numFmtId="0" fontId="73" fillId="40" borderId="61" xfId="53" applyFont="1" applyFill="1" applyBorder="1" applyAlignment="1">
      <alignment horizontal="center" vertical="top"/>
    </xf>
    <xf numFmtId="0" fontId="73" fillId="40" borderId="61" xfId="53" applyFont="1" applyFill="1" applyBorder="1" applyAlignment="1">
      <alignment vertical="top"/>
    </xf>
    <xf numFmtId="0" fontId="72" fillId="40" borderId="61" xfId="53" applyFont="1" applyFill="1" applyBorder="1" applyAlignment="1">
      <alignment vertical="top"/>
    </xf>
    <xf numFmtId="0" fontId="42" fillId="0" borderId="78" xfId="53" applyFont="1" applyFill="1" applyBorder="1" applyAlignment="1">
      <alignment vertical="top"/>
    </xf>
    <xf numFmtId="0" fontId="42" fillId="40" borderId="30" xfId="53" applyFont="1" applyFill="1" applyBorder="1" applyAlignment="1">
      <alignment vertical="top"/>
    </xf>
    <xf numFmtId="0" fontId="43" fillId="40" borderId="31" xfId="53" applyFont="1" applyFill="1" applyBorder="1" applyAlignment="1">
      <alignment vertical="top"/>
    </xf>
    <xf numFmtId="0" fontId="43" fillId="40" borderId="0" xfId="53" applyFont="1" applyFill="1" applyBorder="1" applyAlignment="1">
      <alignment vertical="top"/>
    </xf>
    <xf numFmtId="0" fontId="42" fillId="40" borderId="0" xfId="53" applyFont="1" applyFill="1" applyBorder="1" applyAlignment="1">
      <alignment vertical="top"/>
    </xf>
    <xf numFmtId="0" fontId="43" fillId="40" borderId="0" xfId="53" applyFont="1" applyFill="1" applyBorder="1" applyAlignment="1">
      <alignment horizontal="left" vertical="top"/>
    </xf>
    <xf numFmtId="0" fontId="43" fillId="0" borderId="74" xfId="53" applyFont="1" applyFill="1" applyBorder="1" applyAlignment="1">
      <alignment horizontal="left" vertical="top"/>
    </xf>
    <xf numFmtId="0" fontId="43" fillId="0" borderId="25" xfId="53" applyFont="1" applyBorder="1" applyAlignment="1">
      <alignment vertical="top"/>
    </xf>
    <xf numFmtId="0" fontId="42" fillId="0" borderId="25" xfId="53" applyFont="1" applyFill="1" applyBorder="1" applyAlignment="1">
      <alignment vertical="top"/>
    </xf>
    <xf numFmtId="0" fontId="42" fillId="0" borderId="77" xfId="53" applyFont="1" applyFill="1" applyBorder="1" applyAlignment="1">
      <alignment vertical="top"/>
    </xf>
    <xf numFmtId="0" fontId="43" fillId="40" borderId="30" xfId="53" applyFont="1" applyFill="1" applyBorder="1" applyAlignment="1">
      <alignment vertical="top"/>
    </xf>
    <xf numFmtId="0" fontId="43" fillId="0" borderId="79" xfId="53" applyFont="1" applyBorder="1" applyAlignment="1">
      <alignment vertical="top"/>
    </xf>
    <xf numFmtId="0" fontId="43" fillId="0" borderId="80" xfId="53" applyFont="1" applyBorder="1" applyAlignment="1">
      <alignment vertical="top"/>
    </xf>
    <xf numFmtId="0" fontId="42" fillId="0" borderId="80" xfId="53" applyFont="1" applyFill="1" applyBorder="1" applyAlignment="1">
      <alignment vertical="top"/>
    </xf>
    <xf numFmtId="0" fontId="43" fillId="0" borderId="80" xfId="53" applyFont="1" applyFill="1" applyBorder="1" applyAlignment="1">
      <alignment vertical="top"/>
    </xf>
    <xf numFmtId="0" fontId="42" fillId="0" borderId="81" xfId="53" applyFont="1" applyFill="1" applyBorder="1" applyAlignment="1">
      <alignment horizontal="left" vertical="top"/>
    </xf>
    <xf numFmtId="0" fontId="24" fillId="0" borderId="0" xfId="53" applyFont="1" applyBorder="1" applyAlignment="1">
      <alignment vertical="top"/>
    </xf>
    <xf numFmtId="0" fontId="74" fillId="0" borderId="0" xfId="49" applyFont="1" applyAlignment="1">
      <alignment horizontal="center" vertical="center"/>
    </xf>
    <xf numFmtId="0" fontId="74" fillId="0" borderId="0" xfId="49" applyFont="1" applyFill="1" applyAlignment="1">
      <alignment horizontal="center" vertical="center"/>
    </xf>
    <xf numFmtId="0" fontId="74" fillId="0" borderId="0" xfId="49" applyFont="1" applyAlignment="1">
      <alignment horizontal="left" vertical="center" wrapText="1"/>
    </xf>
    <xf numFmtId="49" fontId="74" fillId="0" borderId="0" xfId="49" applyNumberFormat="1" applyFont="1" applyAlignment="1">
      <alignment horizontal="center" vertical="center"/>
    </xf>
    <xf numFmtId="167" fontId="75" fillId="45" borderId="25" xfId="48" applyNumberFormat="1" applyFont="1" applyFill="1" applyBorder="1" applyAlignment="1">
      <alignment horizontal="center" vertical="center"/>
    </xf>
    <xf numFmtId="167" fontId="75" fillId="0" borderId="25" xfId="48" applyNumberFormat="1" applyFont="1" applyFill="1" applyBorder="1" applyAlignment="1">
      <alignment horizontal="center" vertical="center"/>
    </xf>
    <xf numFmtId="49" fontId="74" fillId="0" borderId="25" xfId="49" applyNumberFormat="1" applyFont="1" applyFill="1" applyBorder="1" applyAlignment="1">
      <alignment horizontal="center" vertical="center"/>
    </xf>
    <xf numFmtId="0" fontId="74" fillId="0" borderId="25" xfId="49" applyFont="1" applyFill="1" applyBorder="1" applyAlignment="1">
      <alignment horizontal="left" vertical="center" wrapText="1"/>
    </xf>
    <xf numFmtId="49" fontId="75" fillId="0" borderId="25" xfId="48" applyNumberFormat="1" applyFont="1" applyFill="1" applyBorder="1" applyAlignment="1">
      <alignment horizontal="center" vertical="center" wrapText="1"/>
    </xf>
    <xf numFmtId="0" fontId="75" fillId="0" borderId="25" xfId="48" applyNumberFormat="1" applyFont="1" applyFill="1" applyBorder="1" applyAlignment="1">
      <alignment horizontal="center" vertical="center" wrapText="1"/>
    </xf>
    <xf numFmtId="0" fontId="75" fillId="33" borderId="25" xfId="48" quotePrefix="1" applyNumberFormat="1" applyFont="1" applyFill="1" applyBorder="1" applyAlignment="1">
      <alignment horizontal="center" vertical="center" wrapText="1"/>
    </xf>
    <xf numFmtId="49" fontId="75" fillId="0" borderId="25" xfId="49" applyNumberFormat="1" applyFont="1" applyFill="1" applyBorder="1" applyAlignment="1">
      <alignment horizontal="center" vertical="center"/>
    </xf>
    <xf numFmtId="0" fontId="75" fillId="0" borderId="25" xfId="49" applyNumberFormat="1" applyFont="1" applyFill="1" applyBorder="1" applyAlignment="1">
      <alignment horizontal="center" vertical="center"/>
    </xf>
    <xf numFmtId="167" fontId="75" fillId="42" borderId="25" xfId="48" applyNumberFormat="1" applyFont="1" applyFill="1" applyBorder="1" applyAlignment="1">
      <alignment horizontal="center" vertical="center"/>
    </xf>
    <xf numFmtId="49" fontId="75" fillId="0" borderId="25" xfId="48" applyNumberFormat="1" applyFont="1" applyFill="1" applyBorder="1" applyAlignment="1">
      <alignment horizontal="center" vertical="center"/>
    </xf>
    <xf numFmtId="167" fontId="75" fillId="0" borderId="25" xfId="47" applyNumberFormat="1" applyFont="1" applyFill="1" applyBorder="1" applyAlignment="1">
      <alignment horizontal="center" vertical="center" wrapText="1"/>
    </xf>
    <xf numFmtId="43" fontId="75" fillId="0" borderId="25" xfId="48" applyFont="1" applyFill="1" applyBorder="1" applyAlignment="1">
      <alignment horizontal="left" vertical="center" wrapText="1"/>
    </xf>
    <xf numFmtId="49" fontId="76" fillId="0" borderId="25" xfId="48" applyNumberFormat="1" applyFont="1" applyFill="1" applyBorder="1" applyAlignment="1">
      <alignment horizontal="center" vertical="center" wrapText="1"/>
    </xf>
    <xf numFmtId="43" fontId="76" fillId="0" borderId="25" xfId="48" applyFont="1" applyFill="1" applyBorder="1" applyAlignment="1">
      <alignment horizontal="left" vertical="center" wrapText="1"/>
    </xf>
    <xf numFmtId="0" fontId="75" fillId="0" borderId="25" xfId="48" quotePrefix="1" applyNumberFormat="1" applyFont="1" applyFill="1" applyBorder="1" applyAlignment="1">
      <alignment horizontal="center" vertical="center" wrapText="1"/>
    </xf>
    <xf numFmtId="167" fontId="76" fillId="45" borderId="25" xfId="48" applyNumberFormat="1" applyFont="1" applyFill="1" applyBorder="1" applyAlignment="1">
      <alignment horizontal="center" vertical="center"/>
    </xf>
    <xf numFmtId="167" fontId="76" fillId="41" borderId="25" xfId="48" applyNumberFormat="1" applyFont="1" applyFill="1" applyBorder="1" applyAlignment="1">
      <alignment horizontal="center" vertical="center"/>
    </xf>
    <xf numFmtId="167" fontId="76" fillId="0" borderId="25" xfId="48" applyNumberFormat="1" applyFont="1" applyFill="1" applyBorder="1" applyAlignment="1">
      <alignment horizontal="center" vertical="center"/>
    </xf>
    <xf numFmtId="0" fontId="76" fillId="41" borderId="25" xfId="47" quotePrefix="1" applyFont="1" applyFill="1" applyBorder="1" applyAlignment="1">
      <alignment horizontal="center" vertical="center" wrapText="1"/>
    </xf>
    <xf numFmtId="0" fontId="76" fillId="41" borderId="25" xfId="47" applyFont="1" applyFill="1" applyBorder="1" applyAlignment="1">
      <alignment horizontal="left" vertical="center" wrapText="1"/>
    </xf>
    <xf numFmtId="0" fontId="76" fillId="41" borderId="25" xfId="47" applyFont="1" applyFill="1" applyBorder="1" applyAlignment="1">
      <alignment horizontal="center" vertical="center" wrapText="1"/>
    </xf>
    <xf numFmtId="49" fontId="76" fillId="41" borderId="25" xfId="47" applyNumberFormat="1" applyFont="1" applyFill="1" applyBorder="1" applyAlignment="1">
      <alignment horizontal="center" vertical="center" wrapText="1"/>
    </xf>
    <xf numFmtId="49" fontId="76" fillId="41" borderId="25" xfId="47" applyNumberFormat="1" applyFont="1" applyFill="1" applyBorder="1" applyAlignment="1">
      <alignment horizontal="center" vertical="center"/>
    </xf>
    <xf numFmtId="167" fontId="76" fillId="0" borderId="25" xfId="47" applyNumberFormat="1" applyFont="1" applyFill="1" applyBorder="1" applyAlignment="1">
      <alignment horizontal="center" vertical="center" wrapText="1"/>
    </xf>
    <xf numFmtId="49" fontId="75" fillId="33" borderId="25" xfId="48" applyNumberFormat="1" applyFont="1" applyFill="1" applyBorder="1" applyAlignment="1">
      <alignment horizontal="center" vertical="center" wrapText="1"/>
    </xf>
    <xf numFmtId="0" fontId="75" fillId="33" borderId="25" xfId="48" applyNumberFormat="1" applyFont="1" applyFill="1" applyBorder="1" applyAlignment="1">
      <alignment horizontal="center" vertical="center" wrapText="1"/>
    </xf>
    <xf numFmtId="0" fontId="75" fillId="42" borderId="67" xfId="55" applyNumberFormat="1" applyFont="1" applyFill="1" applyBorder="1" applyAlignment="1">
      <alignment horizontal="center" vertical="center" wrapText="1"/>
    </xf>
    <xf numFmtId="0" fontId="75" fillId="0" borderId="68" xfId="55" applyNumberFormat="1" applyFont="1" applyFill="1" applyBorder="1" applyAlignment="1">
      <alignment horizontal="center" vertical="center"/>
    </xf>
    <xf numFmtId="0" fontId="75" fillId="0" borderId="25" xfId="55" applyNumberFormat="1" applyFont="1" applyFill="1" applyBorder="1" applyAlignment="1">
      <alignment horizontal="center" vertical="center"/>
    </xf>
    <xf numFmtId="167" fontId="75" fillId="41" borderId="25" xfId="48" applyNumberFormat="1" applyFont="1" applyFill="1" applyBorder="1" applyAlignment="1">
      <alignment horizontal="center" vertical="center"/>
    </xf>
    <xf numFmtId="0" fontId="75" fillId="41" borderId="25" xfId="48" quotePrefix="1" applyNumberFormat="1" applyFont="1" applyFill="1" applyBorder="1" applyAlignment="1">
      <alignment horizontal="center" vertical="center" wrapText="1"/>
    </xf>
    <xf numFmtId="43" fontId="76" fillId="41" borderId="25" xfId="48" applyFont="1" applyFill="1" applyBorder="1" applyAlignment="1">
      <alignment horizontal="left" vertical="center" wrapText="1"/>
    </xf>
    <xf numFmtId="0" fontId="75" fillId="41" borderId="25" xfId="48" applyNumberFormat="1" applyFont="1" applyFill="1" applyBorder="1" applyAlignment="1">
      <alignment horizontal="center" vertical="center" wrapText="1"/>
    </xf>
    <xf numFmtId="49" fontId="75" fillId="41" borderId="25" xfId="48" applyNumberFormat="1" applyFont="1" applyFill="1" applyBorder="1" applyAlignment="1">
      <alignment horizontal="center" vertical="center" wrapText="1"/>
    </xf>
    <xf numFmtId="43" fontId="76" fillId="41" borderId="25" xfId="48" applyFont="1" applyFill="1" applyBorder="1" applyAlignment="1">
      <alignment horizontal="center" vertical="center" wrapText="1"/>
    </xf>
    <xf numFmtId="49" fontId="76" fillId="41" borderId="25" xfId="48" applyNumberFormat="1" applyFont="1" applyFill="1" applyBorder="1" applyAlignment="1">
      <alignment horizontal="center" vertical="center" wrapText="1"/>
    </xf>
    <xf numFmtId="168" fontId="74" fillId="0" borderId="0" xfId="56" applyNumberFormat="1" applyFont="1" applyAlignment="1">
      <alignment horizontal="center" vertical="center"/>
    </xf>
    <xf numFmtId="0" fontId="75" fillId="33" borderId="25" xfId="50" applyFont="1" applyFill="1" applyBorder="1" applyAlignment="1">
      <alignment horizontal="center" vertical="center"/>
    </xf>
    <xf numFmtId="0" fontId="77" fillId="45" borderId="25" xfId="0" applyFont="1" applyFill="1" applyBorder="1" applyAlignment="1">
      <alignment horizontal="left" vertical="center" wrapText="1"/>
    </xf>
    <xf numFmtId="0" fontId="75" fillId="47" borderId="25" xfId="0" quotePrefix="1" applyFont="1" applyFill="1" applyBorder="1" applyAlignment="1">
      <alignment horizontal="center" vertical="center"/>
    </xf>
    <xf numFmtId="0" fontId="75" fillId="47" borderId="25" xfId="0" applyFont="1" applyFill="1" applyBorder="1" applyAlignment="1">
      <alignment horizontal="center" vertical="center"/>
    </xf>
    <xf numFmtId="0" fontId="75" fillId="42" borderId="67" xfId="55" applyNumberFormat="1" applyFont="1" applyFill="1" applyBorder="1" applyAlignment="1">
      <alignment horizontal="center" vertical="center"/>
    </xf>
    <xf numFmtId="0" fontId="75" fillId="0" borderId="67" xfId="55" applyNumberFormat="1" applyFont="1" applyFill="1" applyBorder="1" applyAlignment="1">
      <alignment horizontal="center" vertical="center"/>
    </xf>
    <xf numFmtId="43" fontId="75" fillId="0" borderId="25" xfId="48" applyFont="1" applyFill="1" applyBorder="1" applyAlignment="1">
      <alignment horizontal="center" vertical="center" wrapText="1"/>
    </xf>
    <xf numFmtId="0" fontId="76" fillId="33" borderId="25" xfId="48" quotePrefix="1" applyNumberFormat="1" applyFont="1" applyFill="1" applyBorder="1" applyAlignment="1">
      <alignment horizontal="center" vertical="center" wrapText="1"/>
    </xf>
    <xf numFmtId="167" fontId="74" fillId="0" borderId="25" xfId="48" applyNumberFormat="1" applyFont="1" applyFill="1" applyBorder="1" applyAlignment="1">
      <alignment horizontal="center" vertical="center"/>
    </xf>
    <xf numFmtId="49" fontId="74" fillId="0" borderId="25" xfId="0" applyNumberFormat="1" applyFont="1" applyBorder="1" applyAlignment="1">
      <alignment horizontal="center" vertical="center"/>
    </xf>
    <xf numFmtId="0" fontId="74" fillId="0" borderId="25" xfId="0" applyNumberFormat="1" applyFont="1" applyBorder="1" applyAlignment="1">
      <alignment horizontal="left" vertical="center" wrapText="1"/>
    </xf>
    <xf numFmtId="0" fontId="74" fillId="0" borderId="25" xfId="0" applyNumberFormat="1" applyFont="1" applyBorder="1" applyAlignment="1">
      <alignment horizontal="center" vertical="center"/>
    </xf>
    <xf numFmtId="43" fontId="75" fillId="42" borderId="25" xfId="48" applyFont="1" applyFill="1" applyBorder="1" applyAlignment="1">
      <alignment horizontal="left" vertical="center"/>
    </xf>
    <xf numFmtId="49" fontId="75" fillId="33" borderId="25" xfId="48" quotePrefix="1" applyNumberFormat="1" applyFont="1" applyFill="1" applyBorder="1" applyAlignment="1">
      <alignment horizontal="center" vertical="center" wrapText="1"/>
    </xf>
    <xf numFmtId="14" fontId="74" fillId="42" borderId="25" xfId="49" applyNumberFormat="1" applyFont="1" applyFill="1" applyBorder="1" applyAlignment="1">
      <alignment horizontal="center" vertical="center" wrapText="1"/>
    </xf>
    <xf numFmtId="0" fontId="75" fillId="42" borderId="25" xfId="49" applyNumberFormat="1" applyFont="1" applyFill="1" applyBorder="1" applyAlignment="1">
      <alignment horizontal="center" vertical="center" wrapText="1"/>
    </xf>
    <xf numFmtId="49" fontId="76" fillId="0" borderId="25" xfId="48" applyNumberFormat="1" applyFont="1" applyFill="1" applyBorder="1" applyAlignment="1">
      <alignment horizontal="center" vertical="center"/>
    </xf>
    <xf numFmtId="49" fontId="75" fillId="45" borderId="25" xfId="0" applyNumberFormat="1" applyFont="1" applyFill="1" applyBorder="1" applyAlignment="1">
      <alignment horizontal="center" vertical="center"/>
    </xf>
    <xf numFmtId="49" fontId="75" fillId="45" borderId="25" xfId="53" applyNumberFormat="1" applyFont="1" applyFill="1" applyBorder="1" applyAlignment="1">
      <alignment horizontal="left" vertical="center" wrapText="1"/>
    </xf>
    <xf numFmtId="49" fontId="75" fillId="38" borderId="25" xfId="0" applyNumberFormat="1" applyFont="1" applyFill="1" applyBorder="1" applyAlignment="1">
      <alignment horizontal="center" vertical="center"/>
    </xf>
    <xf numFmtId="3" fontId="74" fillId="33" borderId="25" xfId="0" applyNumberFormat="1" applyFont="1" applyFill="1" applyBorder="1" applyAlignment="1">
      <alignment horizontal="center" vertical="center"/>
    </xf>
    <xf numFmtId="49" fontId="75" fillId="0" borderId="25" xfId="0" applyNumberFormat="1" applyFont="1" applyFill="1" applyBorder="1" applyAlignment="1">
      <alignment horizontal="center" vertical="center"/>
    </xf>
    <xf numFmtId="49" fontId="75" fillId="33" borderId="25" xfId="0" applyNumberFormat="1" applyFont="1" applyFill="1" applyBorder="1" applyAlignment="1">
      <alignment horizontal="center" vertical="center"/>
    </xf>
    <xf numFmtId="0" fontId="75" fillId="0" borderId="25" xfId="0" applyNumberFormat="1" applyFont="1" applyFill="1" applyBorder="1" applyAlignment="1">
      <alignment horizontal="left" vertical="center" wrapText="1"/>
    </xf>
    <xf numFmtId="167" fontId="74" fillId="0" borderId="25" xfId="0" applyNumberFormat="1" applyFont="1" applyFill="1" applyBorder="1" applyAlignment="1">
      <alignment horizontal="center" vertical="center"/>
    </xf>
    <xf numFmtId="3" fontId="75" fillId="0" borderId="25" xfId="54" applyNumberFormat="1" applyFont="1" applyFill="1" applyBorder="1" applyAlignment="1">
      <alignment horizontal="center" vertical="center"/>
    </xf>
    <xf numFmtId="41" fontId="77" fillId="0" borderId="25" xfId="0" applyNumberFormat="1" applyFont="1" applyFill="1" applyBorder="1" applyAlignment="1">
      <alignment horizontal="center" vertical="center"/>
    </xf>
    <xf numFmtId="49" fontId="75" fillId="42" borderId="25" xfId="0" applyNumberFormat="1" applyFont="1" applyFill="1" applyBorder="1" applyAlignment="1">
      <alignment horizontal="center" vertical="center"/>
    </xf>
    <xf numFmtId="0" fontId="75" fillId="42" borderId="25" xfId="0" applyNumberFormat="1" applyFont="1" applyFill="1" applyBorder="1" applyAlignment="1">
      <alignment horizontal="left" vertical="center"/>
    </xf>
    <xf numFmtId="49" fontId="75" fillId="42" borderId="25" xfId="48" applyNumberFormat="1" applyFont="1" applyFill="1" applyBorder="1" applyAlignment="1">
      <alignment horizontal="center" vertical="center" wrapText="1"/>
    </xf>
    <xf numFmtId="0" fontId="75" fillId="42" borderId="25" xfId="48" applyNumberFormat="1" applyFont="1" applyFill="1" applyBorder="1" applyAlignment="1">
      <alignment horizontal="center" vertical="center" wrapText="1"/>
    </xf>
    <xf numFmtId="0" fontId="75" fillId="42" borderId="25" xfId="48" quotePrefix="1" applyNumberFormat="1" applyFont="1" applyFill="1" applyBorder="1" applyAlignment="1">
      <alignment horizontal="center" vertical="center" wrapText="1"/>
    </xf>
    <xf numFmtId="0" fontId="75" fillId="42" borderId="25" xfId="0" applyFont="1" applyFill="1" applyBorder="1" applyAlignment="1">
      <alignment horizontal="center" vertical="center" wrapText="1"/>
    </xf>
    <xf numFmtId="49" fontId="75" fillId="0" borderId="25" xfId="50" applyNumberFormat="1" applyFont="1" applyBorder="1" applyAlignment="1">
      <alignment horizontal="center" vertical="center"/>
    </xf>
    <xf numFmtId="0" fontId="75" fillId="0" borderId="25" xfId="53" applyFont="1" applyFill="1" applyBorder="1" applyAlignment="1">
      <alignment horizontal="left" vertical="center" wrapText="1"/>
    </xf>
    <xf numFmtId="49" fontId="75" fillId="0" borderId="25" xfId="51" applyNumberFormat="1" applyFont="1" applyFill="1" applyBorder="1" applyAlignment="1">
      <alignment horizontal="center" vertical="center"/>
    </xf>
    <xf numFmtId="167" fontId="75" fillId="42" borderId="25" xfId="47" applyNumberFormat="1" applyFont="1" applyFill="1" applyBorder="1" applyAlignment="1">
      <alignment horizontal="center" vertical="center" wrapText="1"/>
    </xf>
    <xf numFmtId="0" fontId="75" fillId="33" borderId="66" xfId="0" applyFont="1" applyFill="1" applyBorder="1" applyAlignment="1">
      <alignment horizontal="center" vertical="center"/>
    </xf>
    <xf numFmtId="49" fontId="75" fillId="0" borderId="25" xfId="53" applyNumberFormat="1" applyFont="1" applyFill="1" applyBorder="1" applyAlignment="1">
      <alignment horizontal="left" vertical="center" wrapText="1"/>
    </xf>
    <xf numFmtId="49" fontId="75" fillId="33" borderId="25" xfId="51" applyNumberFormat="1" applyFont="1" applyFill="1" applyBorder="1" applyAlignment="1">
      <alignment horizontal="center" vertical="center"/>
    </xf>
    <xf numFmtId="0" fontId="75" fillId="0" borderId="25" xfId="52" applyFont="1" applyBorder="1" applyAlignment="1">
      <alignment horizontal="center" vertical="center"/>
    </xf>
    <xf numFmtId="49" fontId="79" fillId="0" borderId="25" xfId="53" quotePrefix="1" applyNumberFormat="1" applyFont="1" applyFill="1" applyBorder="1" applyAlignment="1">
      <alignment horizontal="center" vertical="center" wrapText="1"/>
    </xf>
    <xf numFmtId="0" fontId="80" fillId="0" borderId="25" xfId="0" quotePrefix="1" applyFont="1" applyBorder="1" applyAlignment="1">
      <alignment horizontal="center" vertical="center" wrapText="1"/>
    </xf>
    <xf numFmtId="49" fontId="75" fillId="0" borderId="25" xfId="0" applyNumberFormat="1" applyFont="1" applyFill="1" applyBorder="1" applyAlignment="1">
      <alignment horizontal="left" vertical="center" wrapText="1"/>
    </xf>
    <xf numFmtId="49" fontId="75" fillId="33" borderId="25" xfId="50" quotePrefix="1" applyNumberFormat="1" applyFont="1" applyFill="1" applyBorder="1" applyAlignment="1">
      <alignment horizontal="center" vertical="center"/>
    </xf>
    <xf numFmtId="49" fontId="79" fillId="0" borderId="25" xfId="0" applyNumberFormat="1" applyFont="1" applyFill="1" applyBorder="1" applyAlignment="1">
      <alignment horizontal="center" vertical="center" wrapText="1"/>
    </xf>
    <xf numFmtId="0" fontId="75" fillId="33" borderId="25" xfId="0" applyFont="1" applyFill="1" applyBorder="1" applyAlignment="1">
      <alignment horizontal="center" vertical="center"/>
    </xf>
    <xf numFmtId="0" fontId="75" fillId="33" borderId="25" xfId="0" quotePrefix="1" applyFont="1" applyFill="1" applyBorder="1" applyAlignment="1">
      <alignment horizontal="center" vertical="center"/>
    </xf>
    <xf numFmtId="167" fontId="74" fillId="0" borderId="25" xfId="45" applyNumberFormat="1" applyFont="1" applyFill="1" applyBorder="1" applyAlignment="1">
      <alignment horizontal="center" vertical="center"/>
    </xf>
    <xf numFmtId="49" fontId="75" fillId="33" borderId="66" xfId="50" quotePrefix="1" applyNumberFormat="1" applyFont="1" applyFill="1" applyBorder="1" applyAlignment="1">
      <alignment horizontal="center" vertical="center"/>
    </xf>
    <xf numFmtId="0" fontId="75" fillId="0" borderId="25" xfId="0" applyFont="1" applyFill="1" applyBorder="1" applyAlignment="1">
      <alignment horizontal="left" vertical="center" wrapText="1"/>
    </xf>
    <xf numFmtId="0" fontId="74" fillId="0" borderId="25" xfId="0" quotePrefix="1" applyFont="1" applyBorder="1" applyAlignment="1">
      <alignment horizontal="center" vertical="center"/>
    </xf>
    <xf numFmtId="49" fontId="75" fillId="0" borderId="66" xfId="0" applyNumberFormat="1" applyFont="1" applyFill="1" applyBorder="1" applyAlignment="1">
      <alignment horizontal="left" vertical="center" wrapText="1"/>
    </xf>
    <xf numFmtId="49" fontId="75" fillId="0" borderId="66" xfId="51" applyNumberFormat="1" applyFont="1" applyFill="1" applyBorder="1" applyAlignment="1">
      <alignment horizontal="center" vertical="center" wrapText="1"/>
    </xf>
    <xf numFmtId="49" fontId="77" fillId="0" borderId="25" xfId="0" applyNumberFormat="1" applyFont="1" applyBorder="1" applyAlignment="1">
      <alignment horizontal="center" vertical="center"/>
    </xf>
    <xf numFmtId="49" fontId="76" fillId="33" borderId="25" xfId="48" applyNumberFormat="1" applyFont="1" applyFill="1" applyBorder="1" applyAlignment="1">
      <alignment horizontal="center" vertical="center" wrapText="1"/>
    </xf>
    <xf numFmtId="0" fontId="74" fillId="45" borderId="25" xfId="49" applyFont="1" applyFill="1" applyBorder="1" applyAlignment="1">
      <alignment horizontal="center" vertical="center"/>
    </xf>
    <xf numFmtId="0" fontId="74" fillId="0" borderId="25" xfId="49" applyFont="1" applyFill="1" applyBorder="1" applyAlignment="1">
      <alignment horizontal="center" vertical="center"/>
    </xf>
    <xf numFmtId="0" fontId="75" fillId="0" borderId="25" xfId="0" applyFont="1" applyFill="1" applyBorder="1" applyAlignment="1">
      <alignment horizontal="center" vertical="center" wrapText="1"/>
    </xf>
    <xf numFmtId="49" fontId="75" fillId="33" borderId="25" xfId="51" quotePrefix="1" applyNumberFormat="1" applyFont="1" applyFill="1" applyBorder="1" applyAlignment="1">
      <alignment horizontal="center" vertical="center"/>
    </xf>
    <xf numFmtId="0" fontId="74" fillId="0" borderId="0" xfId="49" applyFont="1" applyFill="1" applyBorder="1" applyAlignment="1">
      <alignment horizontal="center" vertical="center"/>
    </xf>
    <xf numFmtId="167" fontId="75" fillId="33" borderId="25" xfId="48" applyNumberFormat="1" applyFont="1" applyFill="1" applyBorder="1" applyAlignment="1">
      <alignment horizontal="center" vertical="center"/>
    </xf>
    <xf numFmtId="0" fontId="80" fillId="0" borderId="25" xfId="49" applyFont="1" applyFill="1" applyBorder="1" applyAlignment="1">
      <alignment horizontal="center" vertical="center" wrapText="1"/>
    </xf>
    <xf numFmtId="49" fontId="77" fillId="0" borderId="25" xfId="49" applyNumberFormat="1" applyFont="1" applyBorder="1" applyAlignment="1">
      <alignment horizontal="center" vertical="center"/>
    </xf>
    <xf numFmtId="168" fontId="75" fillId="0" borderId="25" xfId="48" applyNumberFormat="1" applyFont="1" applyFill="1" applyBorder="1" applyAlignment="1">
      <alignment horizontal="center" vertical="center"/>
    </xf>
    <xf numFmtId="0" fontId="75" fillId="0" borderId="25" xfId="49" applyNumberFormat="1" applyFont="1" applyFill="1" applyBorder="1" applyAlignment="1">
      <alignment horizontal="center" vertical="center" wrapText="1"/>
    </xf>
    <xf numFmtId="168" fontId="75" fillId="45" borderId="25" xfId="48" applyNumberFormat="1" applyFont="1" applyFill="1" applyBorder="1" applyAlignment="1">
      <alignment horizontal="center" vertical="center"/>
    </xf>
    <xf numFmtId="49" fontId="79" fillId="0" borderId="25" xfId="53" applyNumberFormat="1" applyFont="1" applyFill="1" applyBorder="1" applyAlignment="1">
      <alignment horizontal="center" vertical="center" wrapText="1"/>
    </xf>
    <xf numFmtId="49" fontId="79" fillId="0" borderId="25" xfId="0" quotePrefix="1" applyNumberFormat="1" applyFont="1" applyFill="1" applyBorder="1" applyAlignment="1">
      <alignment horizontal="center" vertical="center" wrapText="1"/>
    </xf>
    <xf numFmtId="0" fontId="75" fillId="33" borderId="25" xfId="0" applyNumberFormat="1" applyFont="1" applyFill="1" applyBorder="1" applyAlignment="1">
      <alignment horizontal="center" vertical="center"/>
    </xf>
    <xf numFmtId="49" fontId="75" fillId="33" borderId="25" xfId="0" quotePrefix="1" applyNumberFormat="1" applyFont="1" applyFill="1" applyBorder="1" applyAlignment="1">
      <alignment horizontal="center" vertical="center"/>
    </xf>
    <xf numFmtId="49" fontId="75" fillId="0" borderId="66" xfId="50" applyNumberFormat="1" applyFont="1" applyBorder="1" applyAlignment="1">
      <alignment horizontal="center" vertical="center"/>
    </xf>
    <xf numFmtId="0" fontId="75" fillId="0" borderId="66" xfId="53" applyFont="1" applyBorder="1" applyAlignment="1">
      <alignment horizontal="center" vertical="center"/>
    </xf>
    <xf numFmtId="168" fontId="76" fillId="0" borderId="25" xfId="48" applyNumberFormat="1" applyFont="1" applyFill="1" applyBorder="1" applyAlignment="1">
      <alignment horizontal="center" vertical="center"/>
    </xf>
    <xf numFmtId="167" fontId="75" fillId="0" borderId="25" xfId="49" applyNumberFormat="1" applyFont="1" applyFill="1" applyBorder="1" applyAlignment="1">
      <alignment horizontal="center" vertical="center"/>
    </xf>
    <xf numFmtId="167" fontId="74" fillId="0" borderId="25" xfId="49" applyNumberFormat="1" applyFont="1" applyFill="1" applyBorder="1" applyAlignment="1">
      <alignment horizontal="center" vertical="center"/>
    </xf>
    <xf numFmtId="0" fontId="75" fillId="42" borderId="0" xfId="0" applyFont="1" applyFill="1" applyBorder="1" applyAlignment="1">
      <alignment horizontal="center" vertical="center"/>
    </xf>
    <xf numFmtId="0" fontId="74" fillId="0" borderId="0" xfId="0" applyFont="1" applyBorder="1" applyAlignment="1">
      <alignment horizontal="center" vertical="center"/>
    </xf>
    <xf numFmtId="0" fontId="74" fillId="0" borderId="25" xfId="0" applyFont="1" applyFill="1" applyBorder="1" applyAlignment="1">
      <alignment horizontal="center" vertical="center"/>
    </xf>
    <xf numFmtId="0" fontId="74" fillId="0" borderId="25" xfId="0" applyFont="1" applyBorder="1" applyAlignment="1">
      <alignment horizontal="center" vertical="center"/>
    </xf>
    <xf numFmtId="168" fontId="77" fillId="0" borderId="25" xfId="48" applyNumberFormat="1" applyFont="1" applyFill="1" applyBorder="1" applyAlignment="1">
      <alignment horizontal="center" vertical="center"/>
    </xf>
    <xf numFmtId="0" fontId="81" fillId="0" borderId="0" xfId="49" applyFont="1" applyAlignment="1">
      <alignment horizontal="center" vertical="center"/>
    </xf>
    <xf numFmtId="167" fontId="76" fillId="39" borderId="25" xfId="48" applyNumberFormat="1" applyFont="1" applyFill="1" applyBorder="1" applyAlignment="1">
      <alignment horizontal="center" vertical="center"/>
    </xf>
    <xf numFmtId="167" fontId="76" fillId="44" borderId="25" xfId="48" applyNumberFormat="1" applyFont="1" applyFill="1" applyBorder="1" applyAlignment="1">
      <alignment horizontal="center" vertical="center"/>
    </xf>
    <xf numFmtId="167" fontId="76" fillId="41" borderId="25" xfId="47" applyNumberFormat="1" applyFont="1" applyFill="1" applyBorder="1" applyAlignment="1">
      <alignment horizontal="center" vertical="center"/>
    </xf>
    <xf numFmtId="167" fontId="76" fillId="39" borderId="25" xfId="47" applyNumberFormat="1" applyFont="1" applyFill="1" applyBorder="1" applyAlignment="1">
      <alignment horizontal="center" vertical="center" wrapText="1"/>
    </xf>
    <xf numFmtId="167" fontId="76" fillId="46" borderId="25" xfId="47" applyNumberFormat="1" applyFont="1" applyFill="1" applyBorder="1" applyAlignment="1">
      <alignment horizontal="center" vertical="center" wrapText="1"/>
    </xf>
    <xf numFmtId="167" fontId="76" fillId="45" borderId="25" xfId="47" applyNumberFormat="1" applyFont="1" applyFill="1" applyBorder="1" applyAlignment="1">
      <alignment horizontal="center" vertical="center" wrapText="1"/>
    </xf>
    <xf numFmtId="167" fontId="76" fillId="44" borderId="25" xfId="47" applyNumberFormat="1" applyFont="1" applyFill="1" applyBorder="1" applyAlignment="1">
      <alignment horizontal="center" vertical="center" wrapText="1"/>
    </xf>
    <xf numFmtId="0" fontId="81" fillId="0" borderId="0" xfId="49" applyFont="1" applyAlignment="1">
      <alignment horizontal="left" vertical="center"/>
    </xf>
    <xf numFmtId="167" fontId="75" fillId="39" borderId="25" xfId="47" applyNumberFormat="1" applyFont="1" applyFill="1" applyBorder="1" applyAlignment="1">
      <alignment horizontal="center" vertical="center" wrapText="1"/>
    </xf>
    <xf numFmtId="167" fontId="75" fillId="39" borderId="25" xfId="48" applyNumberFormat="1" applyFont="1" applyFill="1" applyBorder="1" applyAlignment="1">
      <alignment horizontal="center" vertical="center" wrapText="1"/>
    </xf>
    <xf numFmtId="167" fontId="75" fillId="46" borderId="25" xfId="47" applyNumberFormat="1" applyFont="1" applyFill="1" applyBorder="1" applyAlignment="1">
      <alignment horizontal="center" vertical="center" wrapText="1"/>
    </xf>
    <xf numFmtId="167" fontId="75" fillId="46" borderId="25" xfId="48" applyNumberFormat="1" applyFont="1" applyFill="1" applyBorder="1" applyAlignment="1">
      <alignment horizontal="center" vertical="center" wrapText="1"/>
    </xf>
    <xf numFmtId="167" fontId="75" fillId="45" borderId="25" xfId="47" applyNumberFormat="1" applyFont="1" applyFill="1" applyBorder="1" applyAlignment="1">
      <alignment horizontal="center" vertical="center" wrapText="1"/>
    </xf>
    <xf numFmtId="167" fontId="75" fillId="45" borderId="25" xfId="48" applyNumberFormat="1" applyFont="1" applyFill="1" applyBorder="1" applyAlignment="1">
      <alignment horizontal="center" vertical="center" wrapText="1"/>
    </xf>
    <xf numFmtId="167" fontId="75" fillId="44" borderId="25" xfId="47" applyNumberFormat="1" applyFont="1" applyFill="1" applyBorder="1" applyAlignment="1">
      <alignment horizontal="center" vertical="center" wrapText="1"/>
    </xf>
    <xf numFmtId="167" fontId="75" fillId="44" borderId="25" xfId="48" applyNumberFormat="1" applyFont="1" applyFill="1" applyBorder="1" applyAlignment="1">
      <alignment horizontal="center" vertical="center" wrapText="1"/>
    </xf>
    <xf numFmtId="167" fontId="75" fillId="41" borderId="65" xfId="48" applyNumberFormat="1" applyFont="1" applyFill="1" applyBorder="1" applyAlignment="1">
      <alignment horizontal="center" vertical="center" wrapText="1"/>
    </xf>
    <xf numFmtId="49" fontId="75" fillId="41" borderId="65" xfId="47" applyNumberFormat="1" applyFont="1" applyFill="1" applyBorder="1" applyAlignment="1">
      <alignment horizontal="center" vertical="center" wrapText="1"/>
    </xf>
    <xf numFmtId="0" fontId="75" fillId="41" borderId="65" xfId="47" applyFont="1" applyFill="1" applyBorder="1" applyAlignment="1">
      <alignment horizontal="center" vertical="center" wrapText="1"/>
    </xf>
    <xf numFmtId="0" fontId="75" fillId="41" borderId="25" xfId="47" applyFont="1" applyFill="1" applyBorder="1" applyAlignment="1">
      <alignment horizontal="center" vertical="center" wrapText="1"/>
    </xf>
    <xf numFmtId="0" fontId="75" fillId="41" borderId="25" xfId="47" applyFont="1" applyFill="1" applyBorder="1" applyAlignment="1">
      <alignment horizontal="left" vertical="center" wrapText="1"/>
    </xf>
    <xf numFmtId="49" fontId="75" fillId="41" borderId="25" xfId="47" applyNumberFormat="1" applyFont="1" applyFill="1" applyBorder="1" applyAlignment="1">
      <alignment horizontal="center" vertical="center" wrapText="1"/>
    </xf>
    <xf numFmtId="167" fontId="76" fillId="39" borderId="64" xfId="48" applyNumberFormat="1" applyFont="1" applyFill="1" applyBorder="1" applyAlignment="1">
      <alignment horizontal="center" vertical="center"/>
    </xf>
    <xf numFmtId="167" fontId="76" fillId="39" borderId="53" xfId="48" applyNumberFormat="1" applyFont="1" applyFill="1" applyBorder="1" applyAlignment="1">
      <alignment horizontal="center" vertical="center"/>
    </xf>
    <xf numFmtId="167" fontId="76" fillId="39" borderId="63" xfId="48" applyNumberFormat="1" applyFont="1" applyFill="1" applyBorder="1" applyAlignment="1">
      <alignment horizontal="center" vertical="center"/>
    </xf>
    <xf numFmtId="167" fontId="76" fillId="46" borderId="64" xfId="48" applyNumberFormat="1" applyFont="1" applyFill="1" applyBorder="1" applyAlignment="1">
      <alignment horizontal="center" vertical="center"/>
    </xf>
    <xf numFmtId="167" fontId="76" fillId="46" borderId="53" xfId="48" applyNumberFormat="1" applyFont="1" applyFill="1" applyBorder="1" applyAlignment="1">
      <alignment horizontal="center" vertical="center"/>
    </xf>
    <xf numFmtId="167" fontId="76" fillId="46" borderId="63" xfId="48" applyNumberFormat="1" applyFont="1" applyFill="1" applyBorder="1" applyAlignment="1">
      <alignment horizontal="center" vertical="center"/>
    </xf>
    <xf numFmtId="167" fontId="76" fillId="45" borderId="64" xfId="48" applyNumberFormat="1" applyFont="1" applyFill="1" applyBorder="1" applyAlignment="1">
      <alignment horizontal="center" vertical="center"/>
    </xf>
    <xf numFmtId="167" fontId="76" fillId="45" borderId="53" xfId="48" applyNumberFormat="1" applyFont="1" applyFill="1" applyBorder="1" applyAlignment="1">
      <alignment horizontal="center" vertical="center"/>
    </xf>
    <xf numFmtId="167" fontId="76" fillId="45" borderId="63" xfId="48" applyNumberFormat="1" applyFont="1" applyFill="1" applyBorder="1" applyAlignment="1">
      <alignment horizontal="center" vertical="center"/>
    </xf>
    <xf numFmtId="167" fontId="76" fillId="44" borderId="64" xfId="48" applyNumberFormat="1" applyFont="1" applyFill="1" applyBorder="1" applyAlignment="1">
      <alignment horizontal="center" vertical="center"/>
    </xf>
    <xf numFmtId="167" fontId="76" fillId="44" borderId="63" xfId="48" applyNumberFormat="1" applyFont="1" applyFill="1" applyBorder="1" applyAlignment="1">
      <alignment horizontal="center" vertical="center"/>
    </xf>
    <xf numFmtId="167" fontId="76" fillId="0" borderId="0" xfId="48" applyNumberFormat="1" applyFont="1" applyFill="1" applyAlignment="1">
      <alignment horizontal="center" vertical="center"/>
    </xf>
    <xf numFmtId="167" fontId="76" fillId="0" borderId="0" xfId="48" applyNumberFormat="1" applyFont="1" applyAlignment="1">
      <alignment horizontal="center" vertical="center"/>
    </xf>
    <xf numFmtId="49" fontId="76" fillId="0" borderId="0" xfId="46" applyNumberFormat="1" applyFont="1" applyAlignment="1">
      <alignment horizontal="center" vertical="center"/>
    </xf>
    <xf numFmtId="0" fontId="76" fillId="0" borderId="0" xfId="46" applyFont="1" applyAlignment="1">
      <alignment horizontal="center" vertical="center"/>
    </xf>
    <xf numFmtId="49" fontId="76" fillId="0" borderId="0" xfId="46" applyNumberFormat="1" applyFont="1" applyFill="1" applyAlignment="1">
      <alignment horizontal="center" vertical="center"/>
    </xf>
    <xf numFmtId="167" fontId="75" fillId="0" borderId="59" xfId="48" applyNumberFormat="1" applyFont="1" applyFill="1" applyBorder="1" applyAlignment="1">
      <alignment horizontal="center" vertical="center"/>
    </xf>
    <xf numFmtId="167" fontId="75" fillId="0" borderId="0" xfId="48" applyNumberFormat="1" applyFont="1" applyFill="1" applyAlignment="1">
      <alignment horizontal="center" vertical="center"/>
    </xf>
    <xf numFmtId="167" fontId="75" fillId="0" borderId="0" xfId="48" applyNumberFormat="1" applyFont="1" applyAlignment="1">
      <alignment horizontal="center" vertical="center"/>
    </xf>
    <xf numFmtId="49" fontId="75" fillId="0" borderId="0" xfId="46" applyNumberFormat="1" applyFont="1" applyAlignment="1">
      <alignment horizontal="center" vertical="center"/>
    </xf>
    <xf numFmtId="0" fontId="75" fillId="0" borderId="0" xfId="46" applyFont="1" applyAlignment="1">
      <alignment horizontal="center" vertical="center"/>
    </xf>
    <xf numFmtId="49" fontId="75" fillId="0" borderId="0" xfId="46" applyNumberFormat="1" applyFont="1" applyFill="1" applyAlignment="1">
      <alignment horizontal="center" vertical="center"/>
    </xf>
    <xf numFmtId="0" fontId="72" fillId="0" borderId="0" xfId="53" applyFont="1"/>
    <xf numFmtId="0" fontId="43" fillId="0" borderId="0" xfId="53" applyFont="1"/>
    <xf numFmtId="0" fontId="67" fillId="0" borderId="82" xfId="53" applyFont="1" applyBorder="1"/>
    <xf numFmtId="0" fontId="67" fillId="0" borderId="47" xfId="53" applyFont="1" applyBorder="1"/>
    <xf numFmtId="0" fontId="67" fillId="0" borderId="83" xfId="53" applyFont="1" applyBorder="1"/>
    <xf numFmtId="0" fontId="67" fillId="0" borderId="49" xfId="53" applyFont="1" applyBorder="1"/>
    <xf numFmtId="0" fontId="67" fillId="0" borderId="45" xfId="53" applyFont="1" applyBorder="1"/>
    <xf numFmtId="0" fontId="67" fillId="0" borderId="84" xfId="53" applyFont="1" applyBorder="1"/>
    <xf numFmtId="0" fontId="67" fillId="0" borderId="44" xfId="53" applyFont="1" applyBorder="1"/>
    <xf numFmtId="0" fontId="67" fillId="0" borderId="85" xfId="53" applyFont="1" applyBorder="1"/>
    <xf numFmtId="0" fontId="42" fillId="40" borderId="47" xfId="53" applyFont="1" applyFill="1" applyBorder="1"/>
    <xf numFmtId="0" fontId="43" fillId="0" borderId="0" xfId="53" applyFont="1" applyBorder="1"/>
    <xf numFmtId="0" fontId="73" fillId="0" borderId="49" xfId="53" applyFont="1" applyFill="1" applyBorder="1"/>
    <xf numFmtId="0" fontId="73" fillId="0" borderId="44" xfId="53" applyFont="1" applyFill="1" applyBorder="1"/>
    <xf numFmtId="0" fontId="42" fillId="0" borderId="47" xfId="53" applyFont="1" applyFill="1" applyBorder="1"/>
    <xf numFmtId="0" fontId="43" fillId="41" borderId="45" xfId="53" applyFont="1" applyFill="1" applyBorder="1"/>
    <xf numFmtId="0" fontId="42" fillId="51" borderId="0" xfId="53" applyFont="1" applyFill="1" applyBorder="1"/>
    <xf numFmtId="0" fontId="73" fillId="0" borderId="0" xfId="53" applyFont="1"/>
    <xf numFmtId="0" fontId="18" fillId="44" borderId="56" xfId="0" applyFont="1" applyFill="1" applyBorder="1" applyAlignment="1">
      <alignment horizontal="center" vertical="top" wrapText="1"/>
    </xf>
    <xf numFmtId="0" fontId="18" fillId="44" borderId="29" xfId="0" applyFont="1" applyFill="1" applyBorder="1" applyAlignment="1">
      <alignment horizontal="center" vertical="top" wrapText="1"/>
    </xf>
    <xf numFmtId="0" fontId="18" fillId="44" borderId="58" xfId="0" applyFont="1" applyFill="1" applyBorder="1" applyAlignment="1">
      <alignment horizontal="center" vertical="top" wrapText="1"/>
    </xf>
    <xf numFmtId="0" fontId="18" fillId="44" borderId="34" xfId="0" applyFont="1" applyFill="1" applyBorder="1" applyAlignment="1">
      <alignment horizontal="center" vertical="top" wrapText="1"/>
    </xf>
    <xf numFmtId="0" fontId="33" fillId="0" borderId="0" xfId="53" applyFont="1"/>
    <xf numFmtId="0" fontId="82" fillId="0" borderId="0" xfId="53" applyFont="1"/>
    <xf numFmtId="0" fontId="82" fillId="0" borderId="0" xfId="53" applyFont="1" applyFill="1"/>
    <xf numFmtId="0" fontId="33" fillId="0" borderId="0" xfId="53" applyFont="1" applyFill="1"/>
    <xf numFmtId="0" fontId="83" fillId="0" borderId="0" xfId="53" applyFont="1" applyFill="1"/>
    <xf numFmtId="0" fontId="84" fillId="0" borderId="0" xfId="53" applyFont="1"/>
    <xf numFmtId="0" fontId="82" fillId="0" borderId="82" xfId="53" applyFont="1" applyBorder="1"/>
    <xf numFmtId="0" fontId="82" fillId="0" borderId="49" xfId="53" applyFont="1" applyBorder="1"/>
    <xf numFmtId="0" fontId="82" fillId="0" borderId="47" xfId="53" applyFont="1" applyBorder="1"/>
    <xf numFmtId="0" fontId="82" fillId="0" borderId="83" xfId="53" applyFont="1" applyBorder="1"/>
    <xf numFmtId="0" fontId="33" fillId="0" borderId="47" xfId="53" applyFont="1" applyBorder="1"/>
    <xf numFmtId="0" fontId="82" fillId="0" borderId="45" xfId="53" applyFont="1" applyBorder="1"/>
    <xf numFmtId="0" fontId="82" fillId="0" borderId="44" xfId="53" applyFont="1" applyBorder="1"/>
    <xf numFmtId="0" fontId="82" fillId="0" borderId="84" xfId="53" applyFont="1" applyBorder="1"/>
    <xf numFmtId="0" fontId="82" fillId="0" borderId="85" xfId="53" applyFont="1" applyBorder="1"/>
    <xf numFmtId="0" fontId="83" fillId="40" borderId="47" xfId="53" applyFont="1" applyFill="1" applyBorder="1"/>
    <xf numFmtId="0" fontId="82" fillId="0" borderId="0" xfId="53" applyFont="1" applyBorder="1"/>
    <xf numFmtId="49" fontId="33" fillId="0" borderId="47" xfId="53" applyNumberFormat="1" applyFont="1" applyBorder="1" applyAlignment="1">
      <alignment horizontal="center"/>
    </xf>
    <xf numFmtId="0" fontId="36" fillId="40" borderId="44" xfId="53" applyFont="1" applyFill="1" applyBorder="1"/>
    <xf numFmtId="0" fontId="33" fillId="0" borderId="0" xfId="53" applyFont="1" applyBorder="1"/>
    <xf numFmtId="0" fontId="82" fillId="0" borderId="45" xfId="53" applyFont="1" applyBorder="1" applyAlignment="1"/>
    <xf numFmtId="0" fontId="82" fillId="0" borderId="43" xfId="53" applyFont="1" applyBorder="1" applyAlignment="1"/>
    <xf numFmtId="0" fontId="83" fillId="0" borderId="44" xfId="53" applyFont="1" applyBorder="1" applyAlignment="1"/>
    <xf numFmtId="0" fontId="82" fillId="39" borderId="45" xfId="53" applyFont="1" applyFill="1" applyBorder="1"/>
    <xf numFmtId="0" fontId="83" fillId="51" borderId="0" xfId="53" applyFont="1" applyFill="1" applyBorder="1"/>
    <xf numFmtId="0" fontId="36" fillId="0" borderId="0" xfId="53" applyFont="1"/>
    <xf numFmtId="0" fontId="0" fillId="0" borderId="0" xfId="0" applyAlignment="1">
      <alignment vertical="top"/>
    </xf>
    <xf numFmtId="0" fontId="68" fillId="0" borderId="0" xfId="0" applyFont="1" applyAlignment="1">
      <alignment vertical="top"/>
    </xf>
    <xf numFmtId="0" fontId="68" fillId="0" borderId="0" xfId="0" applyFont="1" applyAlignment="1">
      <alignment vertical="top" wrapText="1"/>
    </xf>
    <xf numFmtId="0" fontId="68" fillId="0" borderId="0" xfId="0" applyFont="1" applyAlignment="1">
      <alignment horizontal="left" vertical="top" wrapText="1"/>
    </xf>
    <xf numFmtId="0" fontId="67" fillId="0" borderId="0" xfId="0" applyFont="1" applyBorder="1" applyAlignment="1">
      <alignment vertical="top"/>
    </xf>
    <xf numFmtId="0" fontId="67" fillId="0" borderId="0" xfId="0" applyFont="1" applyBorder="1" applyAlignment="1">
      <alignment horizontal="center" vertical="top" wrapText="1"/>
    </xf>
    <xf numFmtId="0" fontId="35" fillId="0" borderId="0" xfId="0" applyFont="1" applyBorder="1" applyAlignment="1">
      <alignment vertical="top"/>
    </xf>
    <xf numFmtId="0" fontId="35" fillId="0" borderId="0" xfId="0" applyFont="1" applyBorder="1" applyAlignment="1">
      <alignment horizontal="center" vertical="top" wrapText="1"/>
    </xf>
    <xf numFmtId="0" fontId="20" fillId="0" borderId="0" xfId="0" applyFont="1" applyAlignment="1">
      <alignment vertical="top"/>
    </xf>
    <xf numFmtId="0" fontId="39" fillId="35" borderId="26" xfId="0" applyFont="1" applyFill="1" applyBorder="1" applyAlignment="1">
      <alignment vertical="top"/>
    </xf>
    <xf numFmtId="0" fontId="35" fillId="0" borderId="42" xfId="0" applyFont="1" applyBorder="1" applyAlignment="1">
      <alignment vertical="top"/>
    </xf>
    <xf numFmtId="0" fontId="35" fillId="0" borderId="41" xfId="0" applyFont="1" applyBorder="1" applyAlignment="1">
      <alignment vertical="top"/>
    </xf>
    <xf numFmtId="0" fontId="35" fillId="0" borderId="39" xfId="0" applyFont="1" applyBorder="1" applyAlignment="1">
      <alignment vertical="top"/>
    </xf>
    <xf numFmtId="0" fontId="35" fillId="0" borderId="25" xfId="0" applyFont="1" applyBorder="1" applyAlignment="1">
      <alignment vertical="top"/>
    </xf>
    <xf numFmtId="0" fontId="35" fillId="0" borderId="37" xfId="0" applyFont="1" applyBorder="1" applyAlignment="1">
      <alignment vertical="top"/>
    </xf>
    <xf numFmtId="0" fontId="35" fillId="0" borderId="36" xfId="0" applyFont="1" applyBorder="1" applyAlignment="1">
      <alignment vertical="top"/>
    </xf>
    <xf numFmtId="3" fontId="19" fillId="0" borderId="0" xfId="0" applyNumberFormat="1" applyFont="1" applyBorder="1" applyAlignment="1">
      <alignment horizontal="center" vertical="top"/>
    </xf>
    <xf numFmtId="0" fontId="20" fillId="0" borderId="0" xfId="0" applyFont="1" applyBorder="1" applyAlignment="1">
      <alignment horizontal="left" vertical="top" wrapText="1"/>
    </xf>
    <xf numFmtId="3" fontId="38" fillId="52" borderId="16" xfId="0" applyNumberFormat="1" applyFont="1" applyFill="1" applyBorder="1" applyAlignment="1">
      <alignment horizontal="center" vertical="center"/>
    </xf>
    <xf numFmtId="0" fontId="20" fillId="0" borderId="17" xfId="0" applyFont="1" applyBorder="1" applyAlignment="1">
      <alignment horizontal="left" vertical="top" wrapText="1"/>
    </xf>
    <xf numFmtId="3" fontId="23" fillId="35" borderId="16" xfId="0" applyNumberFormat="1" applyFont="1" applyFill="1" applyBorder="1" applyAlignment="1">
      <alignment horizontal="center" vertical="top"/>
    </xf>
    <xf numFmtId="0" fontId="32" fillId="35" borderId="17" xfId="0" applyFont="1" applyFill="1" applyBorder="1" applyAlignment="1">
      <alignment vertical="top" wrapText="1"/>
    </xf>
    <xf numFmtId="3" fontId="21" fillId="0" borderId="16" xfId="0" applyNumberFormat="1" applyFont="1" applyBorder="1" applyAlignment="1">
      <alignment horizontal="center" vertical="top"/>
    </xf>
    <xf numFmtId="0" fontId="25" fillId="0" borderId="17" xfId="0" applyFont="1" applyBorder="1" applyAlignment="1">
      <alignment horizontal="left" vertical="top" wrapText="1"/>
    </xf>
    <xf numFmtId="0" fontId="22" fillId="0" borderId="17" xfId="0" applyFont="1" applyBorder="1" applyAlignment="1">
      <alignment horizontal="left" vertical="top" wrapText="1"/>
    </xf>
    <xf numFmtId="168" fontId="0" fillId="0" borderId="0" xfId="45" applyNumberFormat="1" applyFont="1" applyAlignment="1">
      <alignment vertical="top"/>
    </xf>
    <xf numFmtId="3" fontId="66" fillId="0" borderId="25" xfId="57" applyNumberFormat="1" applyFont="1" applyFill="1" applyBorder="1" applyAlignment="1">
      <alignment horizontal="right" vertical="center"/>
    </xf>
    <xf numFmtId="2" fontId="66" fillId="53" borderId="25" xfId="57" applyNumberFormat="1" applyFont="1" applyFill="1" applyBorder="1" applyAlignment="1">
      <alignment horizontal="right" vertical="center"/>
    </xf>
    <xf numFmtId="164" fontId="66" fillId="53" borderId="25" xfId="45" applyFont="1" applyFill="1" applyBorder="1" applyAlignment="1">
      <alignment vertical="center"/>
    </xf>
    <xf numFmtId="3" fontId="27" fillId="33" borderId="16" xfId="0" applyNumberFormat="1" applyFont="1" applyFill="1" applyBorder="1" applyAlignment="1">
      <alignment horizontal="center" vertical="top"/>
    </xf>
    <xf numFmtId="0" fontId="26" fillId="33" borderId="17" xfId="0" applyFont="1" applyFill="1" applyBorder="1" applyAlignment="1">
      <alignment vertical="top" wrapText="1"/>
    </xf>
    <xf numFmtId="171" fontId="86" fillId="52" borderId="44" xfId="0" applyNumberFormat="1" applyFont="1" applyFill="1" applyBorder="1" applyAlignment="1">
      <alignment vertical="center"/>
    </xf>
    <xf numFmtId="0" fontId="20" fillId="34" borderId="17" xfId="0" applyFont="1" applyFill="1" applyBorder="1" applyAlignment="1">
      <alignment vertical="top" wrapText="1"/>
    </xf>
    <xf numFmtId="3" fontId="23" fillId="36" borderId="16" xfId="0" applyNumberFormat="1" applyFont="1" applyFill="1" applyBorder="1" applyAlignment="1">
      <alignment horizontal="center" vertical="top"/>
    </xf>
    <xf numFmtId="0" fontId="32" fillId="36" borderId="17" xfId="0" applyFont="1" applyFill="1" applyBorder="1" applyAlignment="1">
      <alignment vertical="top" wrapText="1"/>
    </xf>
    <xf numFmtId="3" fontId="0" fillId="0" borderId="0" xfId="0" applyNumberFormat="1" applyAlignment="1">
      <alignment vertical="top"/>
    </xf>
    <xf numFmtId="171" fontId="87" fillId="52" borderId="44" xfId="0" applyNumberFormat="1" applyFont="1" applyFill="1" applyBorder="1" applyAlignment="1">
      <alignment vertical="center"/>
    </xf>
    <xf numFmtId="0" fontId="35" fillId="0" borderId="17" xfId="0" applyFont="1" applyBorder="1" applyAlignment="1">
      <alignment horizontal="left" vertical="top" wrapText="1"/>
    </xf>
    <xf numFmtId="3" fontId="19" fillId="0" borderId="16" xfId="0" applyNumberFormat="1" applyFont="1" applyBorder="1" applyAlignment="1">
      <alignment horizontal="center" vertical="top"/>
    </xf>
    <xf numFmtId="0" fontId="23" fillId="33" borderId="16" xfId="0" applyFont="1" applyFill="1" applyBorder="1" applyAlignment="1">
      <alignment horizontal="center" vertical="top" wrapText="1"/>
    </xf>
    <xf numFmtId="0" fontId="23" fillId="33" borderId="18" xfId="0" applyFont="1" applyFill="1" applyBorder="1" applyAlignment="1">
      <alignment horizontal="center" vertical="top" wrapText="1"/>
    </xf>
    <xf numFmtId="0" fontId="23" fillId="34" borderId="14" xfId="0" applyFont="1" applyFill="1" applyBorder="1" applyAlignment="1">
      <alignment vertical="top" wrapText="1"/>
    </xf>
    <xf numFmtId="0" fontId="23" fillId="34" borderId="11" xfId="0" applyFont="1" applyFill="1" applyBorder="1" applyAlignment="1">
      <alignment vertical="top" wrapText="1"/>
    </xf>
    <xf numFmtId="0" fontId="23" fillId="34" borderId="10" xfId="0" applyFont="1" applyFill="1" applyBorder="1" applyAlignment="1">
      <alignment vertical="top" wrapText="1"/>
    </xf>
    <xf numFmtId="165" fontId="33" fillId="37" borderId="44" xfId="43" applyNumberFormat="1" applyFont="1" applyFill="1" applyBorder="1" applyAlignment="1">
      <alignment vertical="top"/>
    </xf>
    <xf numFmtId="0" fontId="33" fillId="37" borderId="44" xfId="0" applyFont="1" applyFill="1" applyBorder="1" applyAlignment="1">
      <alignment vertical="top"/>
    </xf>
    <xf numFmtId="0" fontId="19" fillId="33" borderId="17" xfId="0" applyFont="1" applyFill="1" applyBorder="1" applyAlignment="1">
      <alignment horizontal="left" vertical="top" wrapText="1"/>
    </xf>
    <xf numFmtId="4" fontId="38" fillId="52" borderId="16" xfId="0" applyNumberFormat="1" applyFont="1" applyFill="1" applyBorder="1" applyAlignment="1">
      <alignment horizontal="center" vertical="center"/>
    </xf>
    <xf numFmtId="0" fontId="30" fillId="34" borderId="17" xfId="0" applyFont="1" applyFill="1" applyBorder="1" applyAlignment="1">
      <alignment horizontal="left" vertical="top" wrapText="1"/>
    </xf>
    <xf numFmtId="165" fontId="87" fillId="52" borderId="44" xfId="43" applyNumberFormat="1" applyFont="1" applyFill="1" applyBorder="1" applyAlignment="1">
      <alignment vertical="top"/>
    </xf>
    <xf numFmtId="0" fontId="87" fillId="52" borderId="44" xfId="0" applyFont="1" applyFill="1" applyBorder="1" applyAlignment="1">
      <alignment vertical="top"/>
    </xf>
    <xf numFmtId="171" fontId="87" fillId="52" borderId="44" xfId="0" applyNumberFormat="1" applyFont="1" applyFill="1" applyBorder="1" applyAlignment="1">
      <alignment vertical="top"/>
    </xf>
    <xf numFmtId="171" fontId="24" fillId="52" borderId="44" xfId="0" applyNumberFormat="1" applyFont="1" applyFill="1" applyBorder="1" applyAlignment="1">
      <alignment vertical="top"/>
    </xf>
    <xf numFmtId="165" fontId="24" fillId="52" borderId="44" xfId="43" applyNumberFormat="1" applyFont="1" applyFill="1" applyBorder="1" applyAlignment="1">
      <alignment vertical="top"/>
    </xf>
    <xf numFmtId="0" fontId="24" fillId="52" borderId="44" xfId="0" applyFont="1" applyFill="1" applyBorder="1" applyAlignment="1">
      <alignment vertical="top"/>
    </xf>
    <xf numFmtId="168" fontId="72" fillId="0" borderId="25" xfId="45" applyNumberFormat="1" applyFont="1" applyFill="1" applyBorder="1" applyAlignment="1">
      <alignment horizontal="center" vertical="center"/>
    </xf>
    <xf numFmtId="168" fontId="24" fillId="37" borderId="44" xfId="45" applyNumberFormat="1" applyFont="1" applyFill="1" applyBorder="1" applyAlignment="1">
      <alignment horizontal="left" vertical="center"/>
    </xf>
    <xf numFmtId="0" fontId="31" fillId="0" borderId="21" xfId="0" applyFont="1" applyBorder="1" applyAlignment="1">
      <alignment horizontal="left" vertical="top" wrapText="1"/>
    </xf>
    <xf numFmtId="165" fontId="24" fillId="37" borderId="44" xfId="43" applyNumberFormat="1" applyFont="1" applyFill="1" applyBorder="1" applyAlignment="1">
      <alignment horizontal="right" vertical="center"/>
    </xf>
    <xf numFmtId="165" fontId="33" fillId="37" borderId="44" xfId="0" applyNumberFormat="1" applyFont="1" applyFill="1" applyBorder="1" applyAlignment="1">
      <alignment vertical="top"/>
    </xf>
    <xf numFmtId="3" fontId="21" fillId="39" borderId="16" xfId="0" applyNumberFormat="1" applyFont="1" applyFill="1" applyBorder="1" applyAlignment="1">
      <alignment horizontal="center" vertical="top"/>
    </xf>
    <xf numFmtId="165" fontId="24" fillId="37" borderId="44" xfId="0" applyNumberFormat="1" applyFont="1" applyFill="1" applyBorder="1" applyAlignment="1">
      <alignment vertical="top"/>
    </xf>
    <xf numFmtId="165" fontId="24" fillId="37" borderId="44" xfId="43" applyNumberFormat="1" applyFont="1" applyFill="1" applyBorder="1" applyAlignment="1">
      <alignment vertical="top"/>
    </xf>
    <xf numFmtId="169" fontId="24" fillId="37" borderId="44" xfId="45" applyNumberFormat="1" applyFont="1" applyFill="1" applyBorder="1" applyAlignment="1">
      <alignment horizontal="left" vertical="center"/>
    </xf>
    <xf numFmtId="9" fontId="19" fillId="0" borderId="16" xfId="0" applyNumberFormat="1" applyFont="1" applyFill="1" applyBorder="1" applyAlignment="1">
      <alignment horizontal="center" vertical="top"/>
    </xf>
    <xf numFmtId="0" fontId="19" fillId="0" borderId="17" xfId="0" applyFont="1" applyFill="1" applyBorder="1" applyAlignment="1">
      <alignment horizontal="left" vertical="top" wrapText="1"/>
    </xf>
    <xf numFmtId="0" fontId="19" fillId="0" borderId="17" xfId="0" applyFont="1" applyFill="1" applyBorder="1" applyAlignment="1">
      <alignment vertical="top" wrapText="1"/>
    </xf>
    <xf numFmtId="4" fontId="0" fillId="0" borderId="0" xfId="0" applyNumberFormat="1" applyAlignment="1">
      <alignment vertical="top"/>
    </xf>
    <xf numFmtId="0" fontId="20" fillId="39" borderId="17" xfId="0" applyFont="1" applyFill="1" applyBorder="1" applyAlignment="1">
      <alignment horizontal="left" vertical="top" wrapText="1"/>
    </xf>
    <xf numFmtId="0" fontId="37" fillId="41" borderId="0" xfId="0" applyFont="1" applyFill="1" applyAlignment="1">
      <alignment vertical="top"/>
    </xf>
    <xf numFmtId="165" fontId="24" fillId="37" borderId="44" xfId="43" applyNumberFormat="1" applyFont="1" applyFill="1" applyBorder="1" applyAlignment="1">
      <alignment horizontal="center"/>
    </xf>
    <xf numFmtId="0" fontId="33" fillId="0" borderId="44" xfId="0" applyFont="1" applyBorder="1" applyAlignment="1">
      <alignment vertical="top"/>
    </xf>
    <xf numFmtId="168" fontId="24" fillId="37" borderId="44" xfId="45" applyNumberFormat="1" applyFont="1" applyFill="1" applyBorder="1" applyAlignment="1">
      <alignment vertical="top"/>
    </xf>
    <xf numFmtId="168" fontId="24" fillId="37" borderId="44" xfId="45" applyNumberFormat="1" applyFont="1" applyFill="1" applyBorder="1" applyAlignment="1">
      <alignment horizontal="left" vertical="top"/>
    </xf>
    <xf numFmtId="168" fontId="24" fillId="46" borderId="44" xfId="45" applyNumberFormat="1" applyFont="1" applyFill="1" applyBorder="1" applyAlignment="1">
      <alignment horizontal="center" vertical="center"/>
    </xf>
    <xf numFmtId="168" fontId="24" fillId="37" borderId="44" xfId="45" applyNumberFormat="1" applyFont="1" applyFill="1" applyBorder="1" applyAlignment="1">
      <alignment horizontal="center"/>
    </xf>
    <xf numFmtId="0" fontId="0" fillId="54" borderId="0" xfId="0" applyFill="1" applyAlignment="1">
      <alignment vertical="top"/>
    </xf>
    <xf numFmtId="165" fontId="24" fillId="0" borderId="44" xfId="43" applyNumberFormat="1" applyFont="1" applyBorder="1" applyAlignment="1">
      <alignment vertical="top"/>
    </xf>
    <xf numFmtId="9" fontId="33" fillId="37" borderId="44" xfId="43" applyFont="1" applyFill="1" applyBorder="1" applyAlignment="1">
      <alignment vertical="top"/>
    </xf>
    <xf numFmtId="169" fontId="64" fillId="37" borderId="44" xfId="45" applyNumberFormat="1" applyFont="1" applyFill="1" applyBorder="1" applyAlignment="1">
      <alignment horizontal="center"/>
    </xf>
    <xf numFmtId="168" fontId="24" fillId="39" borderId="44" xfId="45" applyNumberFormat="1" applyFont="1" applyFill="1" applyBorder="1" applyAlignment="1">
      <alignment horizontal="center"/>
    </xf>
    <xf numFmtId="169" fontId="24" fillId="37" borderId="44" xfId="45" applyNumberFormat="1" applyFont="1" applyFill="1" applyBorder="1" applyAlignment="1">
      <alignment horizontal="center"/>
    </xf>
    <xf numFmtId="168" fontId="24" fillId="37" borderId="44" xfId="45" applyNumberFormat="1" applyFont="1" applyFill="1" applyBorder="1" applyAlignment="1">
      <alignment horizontal="left"/>
    </xf>
    <xf numFmtId="9" fontId="24" fillId="37" borderId="44" xfId="43" applyFont="1" applyFill="1" applyBorder="1" applyAlignment="1">
      <alignment horizontal="center"/>
    </xf>
    <xf numFmtId="9" fontId="24" fillId="39" borderId="44" xfId="43" applyFont="1" applyFill="1" applyBorder="1" applyAlignment="1">
      <alignment vertical="top"/>
    </xf>
    <xf numFmtId="9" fontId="33" fillId="39" borderId="44" xfId="43" applyFont="1" applyFill="1" applyBorder="1" applyAlignment="1">
      <alignment vertical="top"/>
    </xf>
    <xf numFmtId="164" fontId="24" fillId="37" borderId="44" xfId="45" applyNumberFormat="1" applyFont="1" applyFill="1" applyBorder="1" applyAlignment="1">
      <alignment horizontal="center"/>
    </xf>
    <xf numFmtId="0" fontId="19" fillId="46" borderId="17" xfId="0" applyFont="1" applyFill="1" applyBorder="1" applyAlignment="1">
      <alignment vertical="top" wrapText="1"/>
    </xf>
    <xf numFmtId="9" fontId="24" fillId="46" borderId="44" xfId="43" applyNumberFormat="1" applyFont="1" applyFill="1" applyBorder="1" applyAlignment="1">
      <alignment horizontal="center" vertical="center"/>
    </xf>
    <xf numFmtId="168" fontId="33" fillId="37" borderId="44" xfId="45" applyNumberFormat="1" applyFont="1" applyFill="1" applyBorder="1" applyAlignment="1">
      <alignment vertical="top"/>
    </xf>
    <xf numFmtId="9" fontId="24" fillId="37" borderId="44" xfId="43" applyFont="1" applyFill="1" applyBorder="1" applyAlignment="1">
      <alignment vertical="top"/>
    </xf>
    <xf numFmtId="0" fontId="24" fillId="37" borderId="44" xfId="0" applyFont="1" applyFill="1" applyBorder="1" applyAlignment="1">
      <alignment vertical="top"/>
    </xf>
    <xf numFmtId="171" fontId="24" fillId="37" borderId="44" xfId="0" applyNumberFormat="1" applyFont="1" applyFill="1" applyBorder="1" applyAlignment="1">
      <alignment vertical="top"/>
    </xf>
    <xf numFmtId="168" fontId="33" fillId="37" borderId="0" xfId="45" applyNumberFormat="1" applyFont="1" applyFill="1" applyBorder="1" applyAlignment="1">
      <alignment vertical="top"/>
    </xf>
    <xf numFmtId="0" fontId="19" fillId="55" borderId="22" xfId="0" applyFont="1" applyFill="1" applyBorder="1" applyAlignment="1">
      <alignment horizontal="left" vertical="top" wrapText="1"/>
    </xf>
    <xf numFmtId="0" fontId="19" fillId="55" borderId="17" xfId="0" applyFont="1" applyFill="1" applyBorder="1" applyAlignment="1">
      <alignment horizontal="left" vertical="top" wrapText="1"/>
    </xf>
    <xf numFmtId="168" fontId="33" fillId="39" borderId="44" xfId="45" applyNumberFormat="1" applyFont="1" applyFill="1" applyBorder="1" applyAlignment="1">
      <alignment vertical="top"/>
    </xf>
    <xf numFmtId="0" fontId="19" fillId="39" borderId="17" xfId="0" applyFont="1" applyFill="1" applyBorder="1" applyAlignment="1">
      <alignment horizontal="left" vertical="top" wrapText="1"/>
    </xf>
    <xf numFmtId="1" fontId="19" fillId="41" borderId="16" xfId="0" applyNumberFormat="1" applyFont="1" applyFill="1" applyBorder="1" applyAlignment="1">
      <alignment horizontal="right" vertical="top"/>
    </xf>
    <xf numFmtId="0" fontId="0" fillId="41" borderId="0" xfId="0" applyFill="1" applyAlignment="1">
      <alignment vertical="top"/>
    </xf>
    <xf numFmtId="10" fontId="66" fillId="46" borderId="25" xfId="57" applyNumberFormat="1" applyFont="1" applyFill="1" applyBorder="1" applyAlignment="1">
      <alignment horizontal="right" vertical="center"/>
    </xf>
    <xf numFmtId="0" fontId="88" fillId="0" borderId="77" xfId="0" applyFont="1" applyFill="1" applyBorder="1" applyAlignment="1">
      <alignment horizontal="left" vertical="center"/>
    </xf>
    <xf numFmtId="10" fontId="66" fillId="46" borderId="25" xfId="57" applyNumberFormat="1" applyFont="1" applyFill="1" applyBorder="1" applyAlignment="1">
      <alignment vertical="center"/>
    </xf>
    <xf numFmtId="0" fontId="16" fillId="0" borderId="0" xfId="0" applyFont="1" applyAlignment="1">
      <alignment vertical="top"/>
    </xf>
    <xf numFmtId="0" fontId="89" fillId="33" borderId="16" xfId="0" applyFont="1" applyFill="1" applyBorder="1" applyAlignment="1">
      <alignment horizontal="center" vertical="top" wrapText="1"/>
    </xf>
    <xf numFmtId="0" fontId="89" fillId="33" borderId="18" xfId="0" applyFont="1" applyFill="1" applyBorder="1" applyAlignment="1">
      <alignment horizontal="center" vertical="top" wrapText="1"/>
    </xf>
    <xf numFmtId="0" fontId="28" fillId="39" borderId="11" xfId="0" applyFont="1" applyFill="1" applyBorder="1" applyAlignment="1">
      <alignment vertical="top"/>
    </xf>
    <xf numFmtId="0" fontId="28" fillId="39" borderId="10" xfId="0" applyFont="1" applyFill="1" applyBorder="1" applyAlignment="1">
      <alignment horizontal="left" vertical="top"/>
    </xf>
    <xf numFmtId="0" fontId="28" fillId="33" borderId="20" xfId="0" applyFont="1" applyFill="1" applyBorder="1" applyAlignment="1">
      <alignment horizontal="left" vertical="top" wrapText="1"/>
    </xf>
    <xf numFmtId="0" fontId="28" fillId="33" borderId="17" xfId="0" applyFont="1" applyFill="1" applyBorder="1" applyAlignment="1">
      <alignment horizontal="left" vertical="top" wrapText="1"/>
    </xf>
    <xf numFmtId="0" fontId="0" fillId="0" borderId="62" xfId="0" applyBorder="1" applyAlignment="1">
      <alignment vertical="top"/>
    </xf>
    <xf numFmtId="0" fontId="0" fillId="0" borderId="61" xfId="0" applyBorder="1" applyAlignment="1">
      <alignment vertical="top"/>
    </xf>
    <xf numFmtId="0" fontId="0" fillId="0" borderId="60" xfId="0" applyBorder="1" applyAlignment="1">
      <alignment vertical="top"/>
    </xf>
    <xf numFmtId="0" fontId="82" fillId="0" borderId="0" xfId="53" applyFont="1" applyAlignment="1">
      <alignment horizontal="left" vertical="center"/>
    </xf>
    <xf numFmtId="0" fontId="82" fillId="0" borderId="64" xfId="53" applyFont="1" applyBorder="1" applyAlignment="1">
      <alignment horizontal="left" vertical="center"/>
    </xf>
    <xf numFmtId="0" fontId="82" fillId="0" borderId="63" xfId="53" applyFont="1" applyBorder="1" applyAlignment="1">
      <alignment horizontal="left" vertical="center"/>
    </xf>
    <xf numFmtId="0" fontId="82" fillId="0" borderId="25" xfId="53" applyFont="1" applyBorder="1" applyAlignment="1">
      <alignment horizontal="left" vertical="center"/>
    </xf>
    <xf numFmtId="0" fontId="82" fillId="0" borderId="66" xfId="53" applyFont="1" applyBorder="1" applyAlignment="1">
      <alignment horizontal="left" vertical="center"/>
    </xf>
    <xf numFmtId="0" fontId="67" fillId="0" borderId="25" xfId="53" applyFont="1" applyBorder="1"/>
    <xf numFmtId="0" fontId="82" fillId="0" borderId="62" xfId="53" applyFont="1" applyBorder="1" applyAlignment="1">
      <alignment horizontal="left" vertical="center"/>
    </xf>
    <xf numFmtId="0" fontId="82" fillId="0" borderId="60" xfId="53" applyFont="1" applyBorder="1" applyAlignment="1">
      <alignment horizontal="left" vertical="center"/>
    </xf>
    <xf numFmtId="0" fontId="82" fillId="0" borderId="69" xfId="53" applyFont="1" applyBorder="1" applyAlignment="1">
      <alignment horizontal="left" vertical="center"/>
    </xf>
    <xf numFmtId="0" fontId="82" fillId="0" borderId="65" xfId="53" applyFont="1" applyBorder="1" applyAlignment="1">
      <alignment horizontal="left" vertical="center"/>
    </xf>
    <xf numFmtId="0" fontId="82" fillId="45" borderId="0" xfId="53" applyFont="1" applyFill="1" applyBorder="1" applyAlignment="1">
      <alignment horizontal="left" vertical="top" wrapText="1"/>
    </xf>
    <xf numFmtId="0" fontId="82" fillId="56" borderId="25" xfId="53" applyFont="1" applyFill="1" applyBorder="1" applyAlignment="1">
      <alignment horizontal="left" vertical="center"/>
    </xf>
    <xf numFmtId="0" fontId="83" fillId="56" borderId="25" xfId="53" applyFont="1" applyFill="1" applyBorder="1" applyAlignment="1">
      <alignment horizontal="left" vertical="center"/>
    </xf>
    <xf numFmtId="0" fontId="82" fillId="52" borderId="0" xfId="53" applyFont="1" applyFill="1" applyAlignment="1">
      <alignment horizontal="left" vertical="center"/>
    </xf>
    <xf numFmtId="0" fontId="83" fillId="52" borderId="25" xfId="53" applyFont="1" applyFill="1" applyBorder="1" applyAlignment="1">
      <alignment horizontal="left" vertical="center"/>
    </xf>
    <xf numFmtId="0" fontId="82" fillId="0" borderId="61" xfId="53" applyFont="1" applyBorder="1" applyAlignment="1">
      <alignment horizontal="left" vertical="center"/>
    </xf>
    <xf numFmtId="0" fontId="82" fillId="0" borderId="74" xfId="53" applyFont="1" applyBorder="1" applyAlignment="1">
      <alignment horizontal="left" vertical="center"/>
    </xf>
    <xf numFmtId="0" fontId="82" fillId="0" borderId="73" xfId="53" applyFont="1" applyBorder="1" applyAlignment="1">
      <alignment horizontal="left" vertical="center"/>
    </xf>
    <xf numFmtId="0" fontId="82" fillId="57" borderId="73" xfId="53" applyFont="1" applyFill="1" applyBorder="1" applyAlignment="1">
      <alignment horizontal="left" vertical="center"/>
    </xf>
    <xf numFmtId="0" fontId="83" fillId="57" borderId="25" xfId="53" applyFont="1" applyFill="1" applyBorder="1" applyAlignment="1">
      <alignment horizontal="left" vertical="center"/>
    </xf>
    <xf numFmtId="0" fontId="33" fillId="0" borderId="0" xfId="53" applyFont="1" applyAlignment="1">
      <alignment horizontal="center" wrapText="1"/>
    </xf>
    <xf numFmtId="0" fontId="83" fillId="0" borderId="59" xfId="53" applyFont="1" applyBorder="1" applyAlignment="1">
      <alignment horizontal="left" vertical="center"/>
    </xf>
    <xf numFmtId="0" fontId="82" fillId="56" borderId="66" xfId="53" applyFont="1" applyFill="1" applyBorder="1" applyAlignment="1">
      <alignment horizontal="left" vertical="center"/>
    </xf>
    <xf numFmtId="0" fontId="83" fillId="56" borderId="66" xfId="53" applyFont="1" applyFill="1" applyBorder="1" applyAlignment="1">
      <alignment horizontal="left" vertical="center"/>
    </xf>
    <xf numFmtId="49" fontId="33" fillId="0" borderId="25" xfId="53" applyNumberFormat="1" applyFont="1" applyBorder="1" applyAlignment="1">
      <alignment horizontal="center"/>
    </xf>
    <xf numFmtId="0" fontId="36" fillId="56" borderId="60" xfId="53" applyFont="1" applyFill="1" applyBorder="1"/>
    <xf numFmtId="0" fontId="83" fillId="39" borderId="62" xfId="53" applyFont="1" applyFill="1" applyBorder="1" applyAlignment="1">
      <alignment horizontal="left" vertical="center"/>
    </xf>
    <xf numFmtId="0" fontId="82" fillId="47" borderId="0" xfId="53" applyFont="1" applyFill="1" applyBorder="1" applyAlignment="1">
      <alignment horizontal="left" vertical="center"/>
    </xf>
    <xf numFmtId="0" fontId="43" fillId="0" borderId="82" xfId="53" applyFont="1" applyBorder="1"/>
    <xf numFmtId="0" fontId="72" fillId="0" borderId="49" xfId="53" applyFont="1" applyBorder="1"/>
    <xf numFmtId="0" fontId="72" fillId="0" borderId="47" xfId="53" applyFont="1" applyBorder="1"/>
    <xf numFmtId="0" fontId="72" fillId="0" borderId="83" xfId="53" applyFont="1" applyBorder="1"/>
    <xf numFmtId="0" fontId="72" fillId="0" borderId="82" xfId="53" applyFont="1" applyBorder="1"/>
    <xf numFmtId="0" fontId="43" fillId="0" borderId="45" xfId="53" applyFont="1" applyBorder="1"/>
    <xf numFmtId="0" fontId="72" fillId="0" borderId="44" xfId="53" applyFont="1" applyBorder="1"/>
    <xf numFmtId="0" fontId="72" fillId="0" borderId="84" xfId="53" applyFont="1" applyBorder="1"/>
    <xf numFmtId="0" fontId="72" fillId="0" borderId="45" xfId="53" applyFont="1" applyBorder="1"/>
    <xf numFmtId="0" fontId="72" fillId="0" borderId="85" xfId="53" applyFont="1" applyBorder="1"/>
    <xf numFmtId="0" fontId="73" fillId="40" borderId="47" xfId="53" applyFont="1" applyFill="1" applyBorder="1"/>
    <xf numFmtId="0" fontId="72" fillId="0" borderId="0" xfId="53" applyFont="1" applyBorder="1"/>
    <xf numFmtId="0" fontId="43" fillId="0" borderId="45" xfId="53" applyFont="1" applyBorder="1" applyAlignment="1"/>
    <xf numFmtId="0" fontId="72" fillId="0" borderId="43" xfId="53" applyFont="1" applyBorder="1" applyAlignment="1"/>
    <xf numFmtId="0" fontId="73" fillId="0" borderId="44" xfId="53" applyFont="1" applyBorder="1" applyAlignment="1"/>
    <xf numFmtId="0" fontId="73" fillId="51" borderId="0" xfId="53" applyFont="1" applyFill="1" applyBorder="1"/>
    <xf numFmtId="0" fontId="93" fillId="0" borderId="0" xfId="0" applyFont="1"/>
    <xf numFmtId="0" fontId="94" fillId="0" borderId="0" xfId="0" applyFont="1" applyAlignment="1">
      <alignment wrapText="1"/>
    </xf>
    <xf numFmtId="0" fontId="94" fillId="0" borderId="0" xfId="0" applyFont="1" applyAlignment="1">
      <alignment horizontal="left" wrapText="1"/>
    </xf>
    <xf numFmtId="0" fontId="83" fillId="0" borderId="0" xfId="0" applyFont="1" applyBorder="1"/>
    <xf numFmtId="0" fontId="83" fillId="0" borderId="0" xfId="0" applyFont="1" applyBorder="1" applyAlignment="1">
      <alignment horizontal="center" vertical="center" wrapText="1"/>
    </xf>
    <xf numFmtId="0" fontId="97" fillId="0" borderId="0" xfId="0" applyFont="1"/>
    <xf numFmtId="0" fontId="98" fillId="35" borderId="26" xfId="0" applyFont="1" applyFill="1" applyBorder="1"/>
    <xf numFmtId="0" fontId="58" fillId="0" borderId="0" xfId="0" applyFont="1"/>
    <xf numFmtId="0" fontId="56" fillId="0" borderId="0" xfId="0" applyFont="1" applyBorder="1"/>
    <xf numFmtId="0" fontId="56" fillId="0" borderId="41" xfId="0" applyFont="1" applyBorder="1"/>
    <xf numFmtId="0" fontId="56" fillId="0" borderId="42" xfId="0" applyFont="1" applyBorder="1"/>
    <xf numFmtId="0" fontId="56" fillId="0" borderId="25" xfId="0" applyFont="1" applyBorder="1"/>
    <xf numFmtId="0" fontId="56" fillId="0" borderId="39" xfId="0" applyFont="1" applyBorder="1"/>
    <xf numFmtId="0" fontId="56" fillId="0" borderId="36" xfId="0" applyFont="1" applyBorder="1"/>
    <xf numFmtId="0" fontId="56" fillId="0" borderId="37" xfId="0" applyFont="1" applyBorder="1"/>
    <xf numFmtId="166" fontId="66" fillId="46" borderId="25" xfId="42" applyNumberFormat="1" applyFont="1" applyFill="1" applyBorder="1" applyAlignment="1">
      <alignment vertical="center"/>
    </xf>
    <xf numFmtId="166" fontId="66" fillId="0" borderId="25" xfId="42" applyNumberFormat="1" applyFont="1" applyFill="1" applyBorder="1" applyAlignment="1">
      <alignment vertical="center"/>
    </xf>
    <xf numFmtId="3" fontId="93" fillId="38" borderId="0" xfId="0" applyNumberFormat="1" applyFont="1" applyFill="1" applyBorder="1" applyAlignment="1">
      <alignment horizontal="center" vertical="center"/>
    </xf>
    <xf numFmtId="0" fontId="97" fillId="0" borderId="0" xfId="0" applyFont="1" applyBorder="1" applyAlignment="1">
      <alignment horizontal="left" vertical="center" wrapText="1" indent="1"/>
    </xf>
    <xf numFmtId="3" fontId="94" fillId="39" borderId="0" xfId="0" applyNumberFormat="1" applyFont="1" applyFill="1" applyBorder="1" applyAlignment="1">
      <alignment horizontal="center" vertical="center"/>
    </xf>
    <xf numFmtId="3" fontId="94" fillId="39" borderId="16" xfId="0" applyNumberFormat="1" applyFont="1" applyFill="1" applyBorder="1" applyAlignment="1">
      <alignment horizontal="center" vertical="center"/>
    </xf>
    <xf numFmtId="0" fontId="99" fillId="39" borderId="17" xfId="0" applyFont="1" applyFill="1" applyBorder="1" applyAlignment="1">
      <alignment horizontal="left" vertical="center" wrapText="1" indent="1"/>
    </xf>
    <xf numFmtId="166" fontId="66" fillId="49" borderId="25" xfId="42" applyNumberFormat="1" applyFont="1" applyFill="1" applyBorder="1" applyAlignment="1">
      <alignment vertical="center"/>
    </xf>
    <xf numFmtId="166" fontId="67" fillId="46" borderId="25" xfId="42" applyNumberFormat="1" applyFont="1" applyFill="1" applyBorder="1" applyAlignment="1">
      <alignment vertical="center"/>
    </xf>
    <xf numFmtId="166" fontId="67" fillId="49" borderId="25" xfId="42" applyNumberFormat="1" applyFont="1" applyFill="1" applyBorder="1" applyAlignment="1">
      <alignment vertical="center"/>
    </xf>
    <xf numFmtId="166" fontId="67" fillId="39" borderId="25" xfId="42" applyNumberFormat="1" applyFont="1" applyFill="1" applyBorder="1" applyAlignment="1">
      <alignment vertical="center"/>
    </xf>
    <xf numFmtId="3" fontId="97" fillId="35" borderId="0" xfId="0" applyNumberFormat="1" applyFont="1" applyFill="1" applyBorder="1" applyAlignment="1">
      <alignment horizontal="center" vertical="center"/>
    </xf>
    <xf numFmtId="3" fontId="97" fillId="35" borderId="16" xfId="0" applyNumberFormat="1" applyFont="1" applyFill="1" applyBorder="1" applyAlignment="1">
      <alignment horizontal="center" vertical="center"/>
    </xf>
    <xf numFmtId="0" fontId="98" fillId="35" borderId="17" xfId="0" applyFont="1" applyFill="1" applyBorder="1" applyAlignment="1">
      <alignment vertical="center" wrapText="1"/>
    </xf>
    <xf numFmtId="165" fontId="94" fillId="0" borderId="0" xfId="0" applyNumberFormat="1" applyFont="1" applyBorder="1" applyAlignment="1">
      <alignment horizontal="center" vertical="center"/>
    </xf>
    <xf numFmtId="165" fontId="94" fillId="0" borderId="16" xfId="0" applyNumberFormat="1" applyFont="1" applyBorder="1" applyAlignment="1">
      <alignment horizontal="center" vertical="center"/>
    </xf>
    <xf numFmtId="3" fontId="94" fillId="0" borderId="16" xfId="0" applyNumberFormat="1" applyFont="1" applyBorder="1" applyAlignment="1">
      <alignment horizontal="center" vertical="center"/>
    </xf>
    <xf numFmtId="0" fontId="94" fillId="0" borderId="17" xfId="0" applyFont="1" applyBorder="1" applyAlignment="1">
      <alignment horizontal="left" vertical="center" wrapText="1" indent="1"/>
    </xf>
    <xf numFmtId="3" fontId="97" fillId="39" borderId="0" xfId="0" applyNumberFormat="1" applyFont="1" applyFill="1" applyBorder="1" applyAlignment="1">
      <alignment horizontal="center" vertical="center"/>
    </xf>
    <xf numFmtId="3" fontId="97" fillId="39" borderId="16" xfId="0" applyNumberFormat="1" applyFont="1" applyFill="1" applyBorder="1" applyAlignment="1">
      <alignment horizontal="center" vertical="center"/>
    </xf>
    <xf numFmtId="0" fontId="93" fillId="0" borderId="17" xfId="0" applyFont="1" applyBorder="1" applyAlignment="1">
      <alignment horizontal="left" vertical="center" wrapText="1" indent="1"/>
    </xf>
    <xf numFmtId="0" fontId="66" fillId="46" borderId="66" xfId="42" applyFont="1" applyFill="1" applyBorder="1" applyAlignment="1">
      <alignment horizontal="center" vertical="center"/>
    </xf>
    <xf numFmtId="0" fontId="66" fillId="39" borderId="66" xfId="42" applyFont="1" applyFill="1" applyBorder="1" applyAlignment="1">
      <alignment horizontal="center" vertical="center"/>
    </xf>
    <xf numFmtId="0" fontId="36" fillId="0" borderId="47" xfId="42" applyFont="1" applyBorder="1" applyAlignment="1">
      <alignment horizontal="center" vertical="center"/>
    </xf>
    <xf numFmtId="3" fontId="93" fillId="39" borderId="0" xfId="0" applyNumberFormat="1" applyFont="1" applyFill="1" applyBorder="1" applyAlignment="1">
      <alignment horizontal="center" vertical="center"/>
    </xf>
    <xf numFmtId="3" fontId="93" fillId="39" borderId="16" xfId="0" applyNumberFormat="1" applyFont="1" applyFill="1" applyBorder="1" applyAlignment="1">
      <alignment horizontal="center" vertical="center"/>
    </xf>
    <xf numFmtId="0" fontId="93" fillId="39" borderId="17" xfId="0" applyFont="1" applyFill="1" applyBorder="1" applyAlignment="1">
      <alignment horizontal="left" vertical="center" wrapText="1" indent="1"/>
    </xf>
    <xf numFmtId="3" fontId="94" fillId="0" borderId="0" xfId="0" applyNumberFormat="1" applyFont="1" applyBorder="1" applyAlignment="1">
      <alignment horizontal="center" vertical="center"/>
    </xf>
    <xf numFmtId="3" fontId="93" fillId="0" borderId="0" xfId="0" applyNumberFormat="1" applyFont="1" applyBorder="1" applyAlignment="1">
      <alignment horizontal="center" vertical="center"/>
    </xf>
    <xf numFmtId="3" fontId="93" fillId="0" borderId="16" xfId="0" applyNumberFormat="1" applyFont="1" applyBorder="1" applyAlignment="1">
      <alignment horizontal="center" vertical="center"/>
    </xf>
    <xf numFmtId="165" fontId="99" fillId="0" borderId="0" xfId="0" applyNumberFormat="1" applyFont="1" applyBorder="1" applyAlignment="1">
      <alignment horizontal="center" vertical="center"/>
    </xf>
    <xf numFmtId="165" fontId="99" fillId="0" borderId="16" xfId="0" applyNumberFormat="1" applyFont="1" applyBorder="1" applyAlignment="1">
      <alignment horizontal="center" vertical="center"/>
    </xf>
    <xf numFmtId="3" fontId="99" fillId="33" borderId="16" xfId="0" applyNumberFormat="1" applyFont="1" applyFill="1" applyBorder="1" applyAlignment="1">
      <alignment horizontal="center" vertical="center"/>
    </xf>
    <xf numFmtId="0" fontId="99" fillId="33" borderId="17" xfId="0" applyFont="1" applyFill="1" applyBorder="1" applyAlignment="1">
      <alignment vertical="center" wrapText="1"/>
    </xf>
    <xf numFmtId="3" fontId="97" fillId="34" borderId="0" xfId="0" applyNumberFormat="1" applyFont="1" applyFill="1" applyBorder="1" applyAlignment="1">
      <alignment horizontal="center" vertical="center"/>
    </xf>
    <xf numFmtId="3" fontId="97" fillId="34" borderId="16" xfId="0" applyNumberFormat="1" applyFont="1" applyFill="1" applyBorder="1" applyAlignment="1">
      <alignment horizontal="center" vertical="center"/>
    </xf>
    <xf numFmtId="0" fontId="97" fillId="34" borderId="17" xfId="0" applyFont="1" applyFill="1" applyBorder="1" applyAlignment="1">
      <alignment vertical="center" wrapText="1"/>
    </xf>
    <xf numFmtId="0" fontId="97" fillId="33" borderId="0" xfId="0" applyFont="1" applyFill="1" applyBorder="1" applyAlignment="1">
      <alignment horizontal="center" vertical="center" wrapText="1"/>
    </xf>
    <xf numFmtId="0" fontId="97" fillId="33" borderId="16" xfId="0" applyFont="1" applyFill="1" applyBorder="1" applyAlignment="1">
      <alignment horizontal="center" vertical="center" wrapText="1"/>
    </xf>
    <xf numFmtId="0" fontId="97" fillId="33" borderId="18" xfId="0" applyFont="1" applyFill="1" applyBorder="1" applyAlignment="1">
      <alignment horizontal="center" vertical="center" wrapText="1"/>
    </xf>
    <xf numFmtId="0" fontId="97" fillId="34" borderId="0" xfId="0" applyFont="1" applyFill="1" applyBorder="1" applyAlignment="1">
      <alignment horizontal="center" vertical="center" wrapText="1"/>
    </xf>
    <xf numFmtId="0" fontId="95" fillId="0" borderId="21" xfId="0" applyFont="1" applyBorder="1" applyAlignment="1">
      <alignment horizontal="left" vertical="center" wrapText="1" indent="1"/>
    </xf>
    <xf numFmtId="0" fontId="97" fillId="34" borderId="0" xfId="0" applyFont="1" applyFill="1" applyBorder="1" applyAlignment="1">
      <alignment vertical="center" wrapText="1"/>
    </xf>
    <xf numFmtId="0" fontId="97" fillId="34" borderId="14" xfId="0" applyFont="1" applyFill="1" applyBorder="1" applyAlignment="1">
      <alignment vertical="center" wrapText="1"/>
    </xf>
    <xf numFmtId="0" fontId="97" fillId="34" borderId="11" xfId="0" applyFont="1" applyFill="1" applyBorder="1" applyAlignment="1">
      <alignment vertical="center" wrapText="1"/>
    </xf>
    <xf numFmtId="0" fontId="97" fillId="34" borderId="10" xfId="0" applyFont="1" applyFill="1" applyBorder="1" applyAlignment="1">
      <alignment vertical="center" wrapText="1"/>
    </xf>
    <xf numFmtId="9" fontId="82" fillId="37" borderId="0" xfId="43" applyFont="1" applyFill="1" applyBorder="1" applyAlignment="1">
      <alignment vertical="center"/>
    </xf>
    <xf numFmtId="9" fontId="82" fillId="37" borderId="44" xfId="43" applyFont="1" applyFill="1" applyBorder="1" applyAlignment="1">
      <alignment vertical="center"/>
    </xf>
    <xf numFmtId="0" fontId="82" fillId="37" borderId="44" xfId="0" applyFont="1" applyFill="1" applyBorder="1" applyAlignment="1">
      <alignment vertical="center"/>
    </xf>
    <xf numFmtId="0" fontId="93" fillId="33" borderId="17" xfId="0" applyFont="1" applyFill="1" applyBorder="1" applyAlignment="1">
      <alignment horizontal="left" vertical="center" wrapText="1"/>
    </xf>
    <xf numFmtId="3" fontId="93" fillId="0" borderId="0" xfId="0" applyNumberFormat="1" applyFont="1"/>
    <xf numFmtId="171" fontId="82" fillId="37" borderId="0" xfId="0" applyNumberFormat="1" applyFont="1" applyFill="1" applyBorder="1" applyAlignment="1">
      <alignment vertical="center"/>
    </xf>
    <xf numFmtId="171" fontId="82" fillId="37" borderId="44" xfId="0" applyNumberFormat="1" applyFont="1" applyFill="1" applyBorder="1" applyAlignment="1">
      <alignment vertical="center"/>
    </xf>
    <xf numFmtId="171" fontId="82" fillId="0" borderId="44" xfId="0" applyNumberFormat="1" applyFont="1" applyBorder="1" applyAlignment="1">
      <alignment vertical="top"/>
    </xf>
    <xf numFmtId="171" fontId="82" fillId="0" borderId="0" xfId="0" applyNumberFormat="1" applyFont="1" applyBorder="1" applyAlignment="1">
      <alignment horizontal="center" vertical="center"/>
    </xf>
    <xf numFmtId="168" fontId="82" fillId="37" borderId="0" xfId="45" applyNumberFormat="1" applyFont="1" applyFill="1" applyBorder="1" applyAlignment="1">
      <alignment horizontal="center" vertical="center"/>
    </xf>
    <xf numFmtId="168" fontId="82" fillId="37" borderId="44" xfId="45" applyNumberFormat="1" applyFont="1" applyFill="1" applyBorder="1" applyAlignment="1">
      <alignment horizontal="center" vertical="center"/>
    </xf>
    <xf numFmtId="168" fontId="82" fillId="0" borderId="44" xfId="45" applyNumberFormat="1" applyFont="1" applyBorder="1" applyAlignment="1">
      <alignment horizontal="center" vertical="center"/>
    </xf>
    <xf numFmtId="0" fontId="93" fillId="33" borderId="0" xfId="0" applyFont="1" applyFill="1" applyBorder="1" applyAlignment="1">
      <alignment horizontal="center" vertical="center"/>
    </xf>
    <xf numFmtId="0" fontId="93" fillId="39" borderId="0" xfId="0" applyFont="1" applyFill="1" applyBorder="1" applyAlignment="1">
      <alignment horizontal="center" vertical="center" wrapText="1"/>
    </xf>
    <xf numFmtId="0" fontId="93" fillId="39" borderId="0" xfId="0" applyFont="1" applyFill="1" applyBorder="1" applyAlignment="1">
      <alignment horizontal="center" vertical="center"/>
    </xf>
    <xf numFmtId="0" fontId="98" fillId="34" borderId="17" xfId="0" applyFont="1" applyFill="1" applyBorder="1" applyAlignment="1">
      <alignment horizontal="left" vertical="center" wrapText="1"/>
    </xf>
    <xf numFmtId="0" fontId="97" fillId="34" borderId="0" xfId="0" applyFont="1" applyFill="1" applyBorder="1" applyAlignment="1">
      <alignment horizontal="center" vertical="center"/>
    </xf>
    <xf numFmtId="168" fontId="82" fillId="37" borderId="0" xfId="45" applyNumberFormat="1" applyFont="1" applyFill="1" applyBorder="1" applyAlignment="1">
      <alignment vertical="center"/>
    </xf>
    <xf numFmtId="168" fontId="82" fillId="37" borderId="44" xfId="45" applyNumberFormat="1" applyFont="1" applyFill="1" applyBorder="1" applyAlignment="1">
      <alignment vertical="center"/>
    </xf>
    <xf numFmtId="168" fontId="82" fillId="0" borderId="44" xfId="45" applyNumberFormat="1" applyFont="1" applyBorder="1" applyAlignment="1">
      <alignment vertical="top"/>
    </xf>
    <xf numFmtId="0" fontId="93" fillId="39" borderId="17" xfId="0" applyFont="1" applyFill="1" applyBorder="1" applyAlignment="1">
      <alignment horizontal="left" vertical="center" wrapText="1"/>
    </xf>
    <xf numFmtId="4" fontId="93" fillId="0" borderId="0" xfId="0" applyNumberFormat="1" applyFont="1"/>
    <xf numFmtId="0" fontId="93" fillId="33" borderId="0" xfId="0" applyFont="1" applyFill="1" applyBorder="1" applyAlignment="1">
      <alignment horizontal="center" vertical="center" wrapText="1"/>
    </xf>
    <xf numFmtId="0" fontId="93" fillId="33" borderId="25" xfId="0" applyFont="1" applyFill="1" applyBorder="1" applyAlignment="1">
      <alignment horizontal="center" vertical="center" wrapText="1"/>
    </xf>
    <xf numFmtId="0" fontId="93" fillId="39" borderId="0" xfId="0" applyFont="1" applyFill="1"/>
    <xf numFmtId="0" fontId="97" fillId="39" borderId="17" xfId="0" applyFont="1" applyFill="1" applyBorder="1" applyAlignment="1">
      <alignment vertical="center" wrapText="1"/>
    </xf>
    <xf numFmtId="9" fontId="82" fillId="39" borderId="0" xfId="43" applyFont="1" applyFill="1" applyBorder="1" applyAlignment="1">
      <alignment vertical="center"/>
    </xf>
    <xf numFmtId="9" fontId="82" fillId="39" borderId="44" xfId="43" applyFont="1" applyFill="1" applyBorder="1" applyAlignment="1">
      <alignment vertical="center"/>
    </xf>
    <xf numFmtId="171" fontId="82" fillId="0" borderId="0" xfId="0" applyNumberFormat="1" applyFont="1" applyBorder="1" applyAlignment="1">
      <alignment vertical="top"/>
    </xf>
    <xf numFmtId="0" fontId="82" fillId="0" borderId="0" xfId="0" applyFont="1" applyBorder="1" applyAlignment="1">
      <alignment vertical="top"/>
    </xf>
    <xf numFmtId="0" fontId="82" fillId="0" borderId="44" xfId="0" applyFont="1" applyBorder="1" applyAlignment="1">
      <alignment vertical="top"/>
    </xf>
    <xf numFmtId="1" fontId="93" fillId="0" borderId="0" xfId="0" applyNumberFormat="1" applyFont="1" applyFill="1" applyBorder="1" applyAlignment="1">
      <alignment horizontal="center" vertical="center"/>
    </xf>
    <xf numFmtId="1" fontId="93" fillId="0" borderId="16" xfId="0" applyNumberFormat="1" applyFont="1" applyFill="1" applyBorder="1" applyAlignment="1">
      <alignment horizontal="center" vertical="center"/>
    </xf>
    <xf numFmtId="0" fontId="93" fillId="33" borderId="17" xfId="0" applyFont="1" applyFill="1" applyBorder="1" applyAlignment="1">
      <alignment vertical="center" wrapText="1"/>
    </xf>
    <xf numFmtId="0" fontId="93" fillId="0" borderId="0" xfId="0" applyFont="1" applyFill="1"/>
    <xf numFmtId="0" fontId="93" fillId="0" borderId="0" xfId="0" applyFont="1" applyFill="1" applyBorder="1" applyAlignment="1">
      <alignment horizontal="center" vertical="center" wrapText="1"/>
    </xf>
    <xf numFmtId="0" fontId="97" fillId="0" borderId="17" xfId="0" applyFont="1" applyFill="1" applyBorder="1" applyAlignment="1">
      <alignment vertical="center" wrapText="1"/>
    </xf>
    <xf numFmtId="9" fontId="93" fillId="0" borderId="0" xfId="43" applyFont="1" applyFill="1" applyBorder="1" applyAlignment="1">
      <alignment horizontal="center" vertical="center"/>
    </xf>
    <xf numFmtId="9" fontId="93" fillId="0" borderId="16" xfId="43" applyFont="1" applyFill="1" applyBorder="1" applyAlignment="1">
      <alignment horizontal="center" vertical="center"/>
    </xf>
    <xf numFmtId="171" fontId="82" fillId="39" borderId="0" xfId="0" applyNumberFormat="1" applyFont="1" applyFill="1" applyBorder="1" applyAlignment="1">
      <alignment vertical="top"/>
    </xf>
    <xf numFmtId="171" fontId="82" fillId="39" borderId="44" xfId="0" applyNumberFormat="1" applyFont="1" applyFill="1" applyBorder="1" applyAlignment="1">
      <alignment vertical="top"/>
    </xf>
    <xf numFmtId="168" fontId="93" fillId="33" borderId="0" xfId="45" applyNumberFormat="1" applyFont="1" applyFill="1" applyBorder="1" applyAlignment="1">
      <alignment horizontal="left" vertical="center" wrapText="1"/>
    </xf>
    <xf numFmtId="168" fontId="93" fillId="33" borderId="17" xfId="45" applyNumberFormat="1" applyFont="1" applyFill="1" applyBorder="1" applyAlignment="1">
      <alignment horizontal="left" vertical="center" wrapText="1"/>
    </xf>
    <xf numFmtId="0" fontId="97" fillId="39" borderId="0" xfId="0" applyFont="1" applyFill="1" applyBorder="1" applyAlignment="1">
      <alignment horizontal="center" vertical="center"/>
    </xf>
    <xf numFmtId="9" fontId="93" fillId="0" borderId="0" xfId="0" applyNumberFormat="1" applyFont="1" applyFill="1" applyBorder="1" applyAlignment="1">
      <alignment horizontal="right" vertical="center"/>
    </xf>
    <xf numFmtId="0" fontId="93" fillId="33" borderId="0" xfId="0" applyFont="1" applyFill="1" applyBorder="1" applyAlignment="1">
      <alignment horizontal="right" vertical="center" wrapText="1"/>
    </xf>
    <xf numFmtId="0" fontId="97" fillId="33" borderId="25" xfId="0" applyFont="1" applyFill="1" applyBorder="1" applyAlignment="1">
      <alignment horizontal="center" vertical="center" wrapText="1"/>
    </xf>
    <xf numFmtId="171" fontId="82" fillId="0" borderId="47" xfId="0" applyNumberFormat="1" applyFont="1" applyBorder="1" applyAlignment="1">
      <alignment vertical="top"/>
    </xf>
    <xf numFmtId="168" fontId="82" fillId="39" borderId="0" xfId="45" applyNumberFormat="1" applyFont="1" applyFill="1" applyBorder="1" applyAlignment="1">
      <alignment vertical="top"/>
    </xf>
    <xf numFmtId="168" fontId="82" fillId="39" borderId="44" xfId="45" applyNumberFormat="1" applyFont="1" applyFill="1" applyBorder="1" applyAlignment="1">
      <alignment vertical="top"/>
    </xf>
    <xf numFmtId="168" fontId="82" fillId="0" borderId="47" xfId="45" applyNumberFormat="1" applyFont="1" applyBorder="1" applyAlignment="1">
      <alignment vertical="top"/>
    </xf>
    <xf numFmtId="0" fontId="93" fillId="39" borderId="0" xfId="0" applyFont="1" applyFill="1" applyBorder="1" applyAlignment="1">
      <alignment horizontal="left" vertical="center" wrapText="1"/>
    </xf>
    <xf numFmtId="3" fontId="82" fillId="39" borderId="0" xfId="0" applyNumberFormat="1" applyFont="1" applyFill="1" applyBorder="1" applyAlignment="1">
      <alignment vertical="top"/>
    </xf>
    <xf numFmtId="3" fontId="82" fillId="39" borderId="44" xfId="0" applyNumberFormat="1" applyFont="1" applyFill="1" applyBorder="1" applyAlignment="1">
      <alignment vertical="top"/>
    </xf>
    <xf numFmtId="0" fontId="82" fillId="39" borderId="0" xfId="0" applyFont="1" applyFill="1" applyBorder="1" applyAlignment="1">
      <alignment vertical="top"/>
    </xf>
    <xf numFmtId="0" fontId="82" fillId="39" borderId="44" xfId="0" applyFont="1" applyFill="1" applyBorder="1" applyAlignment="1">
      <alignment vertical="top"/>
    </xf>
    <xf numFmtId="9" fontId="93" fillId="0" borderId="0" xfId="0" applyNumberFormat="1" applyFont="1" applyFill="1" applyBorder="1" applyAlignment="1">
      <alignment horizontal="center" vertical="center"/>
    </xf>
    <xf numFmtId="9" fontId="93" fillId="0" borderId="16" xfId="0" applyNumberFormat="1" applyFont="1" applyFill="1" applyBorder="1" applyAlignment="1">
      <alignment horizontal="center" vertical="center"/>
    </xf>
    <xf numFmtId="0" fontId="93" fillId="0" borderId="17" xfId="0" applyFont="1" applyFill="1" applyBorder="1" applyAlignment="1">
      <alignment vertical="center" wrapText="1"/>
    </xf>
    <xf numFmtId="3" fontId="94" fillId="0" borderId="0" xfId="0" applyNumberFormat="1" applyFont="1" applyBorder="1" applyAlignment="1"/>
    <xf numFmtId="3" fontId="94" fillId="0" borderId="16" xfId="0" applyNumberFormat="1" applyFont="1" applyBorder="1" applyAlignment="1"/>
    <xf numFmtId="3" fontId="94" fillId="39" borderId="0" xfId="0" applyNumberFormat="1" applyFont="1" applyFill="1" applyBorder="1" applyAlignment="1"/>
    <xf numFmtId="3" fontId="94" fillId="39" borderId="16" xfId="0" applyNumberFormat="1" applyFont="1" applyFill="1" applyBorder="1" applyAlignment="1"/>
    <xf numFmtId="3" fontId="93" fillId="0" borderId="0" xfId="0" applyNumberFormat="1" applyFont="1" applyBorder="1" applyAlignment="1"/>
    <xf numFmtId="3" fontId="93" fillId="0" borderId="16" xfId="0" applyNumberFormat="1" applyFont="1" applyBorder="1" applyAlignment="1"/>
    <xf numFmtId="166" fontId="93" fillId="0" borderId="0" xfId="0" applyNumberFormat="1" applyFont="1"/>
    <xf numFmtId="0" fontId="97" fillId="34" borderId="16" xfId="0" applyFont="1" applyFill="1" applyBorder="1" applyAlignment="1">
      <alignment vertical="center" wrapText="1"/>
    </xf>
    <xf numFmtId="0" fontId="97" fillId="34" borderId="13" xfId="0" applyFont="1" applyFill="1" applyBorder="1" applyAlignment="1">
      <alignment vertical="center" wrapText="1"/>
    </xf>
    <xf numFmtId="9" fontId="82" fillId="37" borderId="93" xfId="43" applyFont="1" applyFill="1" applyBorder="1" applyAlignment="1">
      <alignment vertical="center"/>
    </xf>
    <xf numFmtId="9" fontId="82" fillId="37" borderId="94" xfId="43" applyFont="1" applyFill="1" applyBorder="1" applyAlignment="1">
      <alignment vertical="center"/>
    </xf>
    <xf numFmtId="0" fontId="82" fillId="37" borderId="95" xfId="0" applyFont="1" applyFill="1" applyBorder="1" applyAlignment="1">
      <alignment vertical="center"/>
    </xf>
    <xf numFmtId="0" fontId="93" fillId="33" borderId="22" xfId="0" applyFont="1" applyFill="1" applyBorder="1" applyAlignment="1">
      <alignment horizontal="left" vertical="center" wrapText="1"/>
    </xf>
    <xf numFmtId="9" fontId="82" fillId="37" borderId="96" xfId="43" applyFont="1" applyFill="1" applyBorder="1" applyAlignment="1">
      <alignment vertical="center"/>
    </xf>
    <xf numFmtId="0" fontId="82" fillId="37" borderId="97" xfId="0" applyFont="1" applyFill="1" applyBorder="1" applyAlignment="1">
      <alignment vertical="center"/>
    </xf>
    <xf numFmtId="171" fontId="82" fillId="37" borderId="98" xfId="0" applyNumberFormat="1" applyFont="1" applyFill="1" applyBorder="1" applyAlignment="1">
      <alignment vertical="center"/>
    </xf>
    <xf numFmtId="171" fontId="82" fillId="37" borderId="99" xfId="0" applyNumberFormat="1" applyFont="1" applyFill="1" applyBorder="1" applyAlignment="1">
      <alignment vertical="center"/>
    </xf>
    <xf numFmtId="171" fontId="82" fillId="37" borderId="100" xfId="0" applyNumberFormat="1" applyFont="1" applyFill="1" applyBorder="1" applyAlignment="1">
      <alignment vertical="center"/>
    </xf>
    <xf numFmtId="3" fontId="94" fillId="0" borderId="0" xfId="0" applyNumberFormat="1" applyFont="1" applyBorder="1" applyAlignment="1">
      <alignment horizontal="right" vertical="center"/>
    </xf>
    <xf numFmtId="3" fontId="94" fillId="0" borderId="18" xfId="0" applyNumberFormat="1" applyFont="1" applyBorder="1" applyAlignment="1">
      <alignment horizontal="right" vertical="center"/>
    </xf>
    <xf numFmtId="168" fontId="82" fillId="0" borderId="0" xfId="45" applyNumberFormat="1" applyFont="1" applyFill="1" applyBorder="1" applyAlignment="1">
      <alignment vertical="center"/>
    </xf>
    <xf numFmtId="168" fontId="82" fillId="0" borderId="101" xfId="45" applyNumberFormat="1" applyFont="1" applyFill="1" applyBorder="1" applyAlignment="1">
      <alignment vertical="center"/>
    </xf>
    <xf numFmtId="168" fontId="82" fillId="0" borderId="102" xfId="45" applyNumberFormat="1" applyFont="1" applyFill="1" applyBorder="1" applyAlignment="1">
      <alignment vertical="top"/>
    </xf>
    <xf numFmtId="168" fontId="82" fillId="0" borderId="103" xfId="45" applyNumberFormat="1" applyFont="1" applyFill="1" applyBorder="1" applyAlignment="1">
      <alignment vertical="top"/>
    </xf>
    <xf numFmtId="3" fontId="93" fillId="0" borderId="0" xfId="0" applyNumberFormat="1" applyFont="1" applyFill="1" applyBorder="1" applyAlignment="1"/>
    <xf numFmtId="3" fontId="93" fillId="0" borderId="0" xfId="0" applyNumberFormat="1" applyFont="1" applyFill="1" applyBorder="1" applyAlignment="1">
      <alignment horizontal="center"/>
    </xf>
    <xf numFmtId="0" fontId="93" fillId="33" borderId="16" xfId="0" applyFont="1" applyFill="1" applyBorder="1" applyAlignment="1">
      <alignment horizontal="center" vertical="center" wrapText="1"/>
    </xf>
    <xf numFmtId="0" fontId="93" fillId="33" borderId="18" xfId="0" applyFont="1" applyFill="1" applyBorder="1" applyAlignment="1">
      <alignment horizontal="center" vertical="center" wrapText="1"/>
    </xf>
    <xf numFmtId="0" fontId="93" fillId="39" borderId="0" xfId="0" applyFont="1" applyFill="1" applyBorder="1" applyAlignment="1">
      <alignment horizontal="left" vertical="top"/>
    </xf>
    <xf numFmtId="0" fontId="97" fillId="39" borderId="20" xfId="0" applyFont="1" applyFill="1" applyBorder="1" applyAlignment="1">
      <alignment horizontal="left" vertical="top" wrapText="1"/>
    </xf>
    <xf numFmtId="0" fontId="93" fillId="39" borderId="0" xfId="0" applyFont="1" applyFill="1" applyBorder="1" applyAlignment="1">
      <alignment horizontal="left" vertical="top" wrapText="1"/>
    </xf>
    <xf numFmtId="0" fontId="97" fillId="0" borderId="0" xfId="0" applyFont="1" applyBorder="1" applyAlignment="1">
      <alignment horizontal="center"/>
    </xf>
    <xf numFmtId="0" fontId="97" fillId="33" borderId="20" xfId="0" applyFont="1" applyFill="1" applyBorder="1" applyAlignment="1">
      <alignment horizontal="left" vertical="center" wrapText="1"/>
    </xf>
    <xf numFmtId="49" fontId="97" fillId="33" borderId="0" xfId="0" applyNumberFormat="1" applyFont="1" applyFill="1" applyBorder="1" applyAlignment="1">
      <alignment horizontal="center" vertical="center"/>
    </xf>
    <xf numFmtId="0" fontId="97" fillId="33" borderId="0" xfId="0" applyFont="1" applyFill="1" applyBorder="1" applyAlignment="1">
      <alignment horizontal="center" vertical="center"/>
    </xf>
    <xf numFmtId="0" fontId="97" fillId="0" borderId="0" xfId="0" applyFont="1" applyAlignment="1"/>
    <xf numFmtId="0" fontId="102" fillId="0" borderId="0" xfId="0" applyFont="1" applyAlignment="1">
      <alignment horizontal="left" vertical="top"/>
    </xf>
    <xf numFmtId="0" fontId="102" fillId="0" borderId="0" xfId="0" applyFont="1" applyAlignment="1">
      <alignment horizontal="right" vertical="top"/>
    </xf>
    <xf numFmtId="0" fontId="42" fillId="0" borderId="0" xfId="0" applyFont="1" applyBorder="1" applyAlignment="1">
      <alignment horizontal="left" vertical="top"/>
    </xf>
    <xf numFmtId="0" fontId="42" fillId="0" borderId="0" xfId="0" applyFont="1" applyBorder="1" applyAlignment="1">
      <alignment horizontal="left" vertical="top" wrapText="1"/>
    </xf>
    <xf numFmtId="0" fontId="42" fillId="0" borderId="0" xfId="0" applyFont="1" applyBorder="1" applyAlignment="1">
      <alignment horizontal="right" vertical="top"/>
    </xf>
    <xf numFmtId="0" fontId="42" fillId="0" borderId="0" xfId="0" applyFont="1" applyBorder="1" applyAlignment="1">
      <alignment horizontal="right" vertical="top" wrapText="1"/>
    </xf>
    <xf numFmtId="0" fontId="106" fillId="0" borderId="0" xfId="0" applyFont="1" applyAlignment="1">
      <alignment horizontal="right" vertical="top"/>
    </xf>
    <xf numFmtId="0" fontId="107" fillId="35" borderId="26" xfId="0" applyFont="1" applyFill="1" applyBorder="1" applyAlignment="1">
      <alignment horizontal="left" vertical="top"/>
    </xf>
    <xf numFmtId="0" fontId="42" fillId="0" borderId="42" xfId="0" applyFont="1" applyBorder="1" applyAlignment="1">
      <alignment horizontal="right" vertical="top"/>
    </xf>
    <xf numFmtId="0" fontId="42" fillId="0" borderId="41" xfId="0" applyFont="1" applyBorder="1" applyAlignment="1">
      <alignment horizontal="right" vertical="top"/>
    </xf>
    <xf numFmtId="0" fontId="42" fillId="0" borderId="41" xfId="0" applyFont="1" applyBorder="1" applyAlignment="1">
      <alignment horizontal="left" vertical="top"/>
    </xf>
    <xf numFmtId="0" fontId="42" fillId="0" borderId="39" xfId="0" applyFont="1" applyBorder="1" applyAlignment="1">
      <alignment horizontal="right" vertical="top"/>
    </xf>
    <xf numFmtId="0" fontId="42" fillId="0" borderId="25" xfId="0" applyFont="1" applyBorder="1" applyAlignment="1">
      <alignment horizontal="right" vertical="top"/>
    </xf>
    <xf numFmtId="0" fontId="42" fillId="0" borderId="25" xfId="0" applyFont="1" applyBorder="1" applyAlignment="1">
      <alignment horizontal="left" vertical="top"/>
    </xf>
    <xf numFmtId="0" fontId="42" fillId="0" borderId="37" xfId="0" applyFont="1" applyBorder="1" applyAlignment="1">
      <alignment horizontal="right" vertical="top"/>
    </xf>
    <xf numFmtId="0" fontId="42" fillId="0" borderId="36" xfId="0" applyFont="1" applyBorder="1" applyAlignment="1">
      <alignment horizontal="right" vertical="top"/>
    </xf>
    <xf numFmtId="0" fontId="42" fillId="0" borderId="36" xfId="0" applyFont="1" applyBorder="1" applyAlignment="1">
      <alignment horizontal="left" vertical="top"/>
    </xf>
    <xf numFmtId="3" fontId="102" fillId="0" borderId="0" xfId="0" applyNumberFormat="1" applyFont="1" applyBorder="1" applyAlignment="1">
      <alignment horizontal="right" vertical="top"/>
    </xf>
    <xf numFmtId="3" fontId="102" fillId="0" borderId="16" xfId="0" applyNumberFormat="1" applyFont="1" applyBorder="1" applyAlignment="1">
      <alignment horizontal="right" vertical="top"/>
    </xf>
    <xf numFmtId="3" fontId="102" fillId="39" borderId="16" xfId="0" applyNumberFormat="1" applyFont="1" applyFill="1" applyBorder="1" applyAlignment="1">
      <alignment horizontal="right" vertical="top"/>
    </xf>
    <xf numFmtId="0" fontId="106" fillId="39" borderId="17" xfId="0" applyFont="1" applyFill="1" applyBorder="1" applyAlignment="1">
      <alignment horizontal="left" vertical="top" wrapText="1"/>
    </xf>
    <xf numFmtId="3" fontId="106" fillId="39" borderId="16" xfId="0" applyNumberFormat="1" applyFont="1" applyFill="1" applyBorder="1" applyAlignment="1">
      <alignment horizontal="right" vertical="top"/>
    </xf>
    <xf numFmtId="0" fontId="107" fillId="39" borderId="17" xfId="0" applyFont="1" applyFill="1" applyBorder="1" applyAlignment="1">
      <alignment horizontal="left" vertical="top" wrapText="1"/>
    </xf>
    <xf numFmtId="165" fontId="103" fillId="0" borderId="16" xfId="0" applyNumberFormat="1" applyFont="1" applyBorder="1" applyAlignment="1">
      <alignment horizontal="right" vertical="top"/>
    </xf>
    <xf numFmtId="3" fontId="103" fillId="0" borderId="16" xfId="0" applyNumberFormat="1" applyFont="1" applyBorder="1" applyAlignment="1">
      <alignment horizontal="right" vertical="top"/>
    </xf>
    <xf numFmtId="0" fontId="103" fillId="0" borderId="17" xfId="0" applyFont="1" applyBorder="1" applyAlignment="1">
      <alignment horizontal="left" vertical="top" wrapText="1"/>
    </xf>
    <xf numFmtId="0" fontId="102" fillId="0" borderId="17" xfId="0" applyFont="1" applyBorder="1" applyAlignment="1">
      <alignment horizontal="left" vertical="top" wrapText="1"/>
    </xf>
    <xf numFmtId="3" fontId="103" fillId="39" borderId="16" xfId="0" applyNumberFormat="1" applyFont="1" applyFill="1" applyBorder="1" applyAlignment="1">
      <alignment horizontal="right" vertical="top"/>
    </xf>
    <xf numFmtId="0" fontId="103" fillId="39" borderId="17" xfId="0" applyFont="1" applyFill="1" applyBorder="1" applyAlignment="1">
      <alignment horizontal="left" vertical="top" wrapText="1"/>
    </xf>
    <xf numFmtId="0" fontId="108" fillId="0" borderId="0" xfId="0" applyFont="1" applyFill="1" applyAlignment="1">
      <alignment vertical="center"/>
    </xf>
    <xf numFmtId="165" fontId="109" fillId="0" borderId="16" xfId="0" applyNumberFormat="1" applyFont="1" applyBorder="1" applyAlignment="1">
      <alignment horizontal="right" vertical="top"/>
    </xf>
    <xf numFmtId="3" fontId="109" fillId="33" borderId="16" xfId="0" applyNumberFormat="1" applyFont="1" applyFill="1" applyBorder="1" applyAlignment="1">
      <alignment horizontal="right" vertical="top"/>
    </xf>
    <xf numFmtId="0" fontId="109" fillId="33" borderId="17" xfId="0" applyFont="1" applyFill="1" applyBorder="1" applyAlignment="1">
      <alignment horizontal="left" vertical="top" wrapText="1"/>
    </xf>
    <xf numFmtId="3" fontId="106" fillId="34" borderId="16" xfId="0" applyNumberFormat="1" applyFont="1" applyFill="1" applyBorder="1" applyAlignment="1">
      <alignment horizontal="right" vertical="top"/>
    </xf>
    <xf numFmtId="0" fontId="106" fillId="34" borderId="17" xfId="0" applyFont="1" applyFill="1" applyBorder="1" applyAlignment="1">
      <alignment horizontal="left" vertical="top" wrapText="1"/>
    </xf>
    <xf numFmtId="3" fontId="106" fillId="36" borderId="16" xfId="0" applyNumberFormat="1" applyFont="1" applyFill="1" applyBorder="1" applyAlignment="1">
      <alignment horizontal="right" vertical="top"/>
    </xf>
    <xf numFmtId="0" fontId="107" fillId="36" borderId="17" xfId="0" applyFont="1" applyFill="1" applyBorder="1" applyAlignment="1">
      <alignment horizontal="left" vertical="top" wrapText="1"/>
    </xf>
    <xf numFmtId="3" fontId="106" fillId="35" borderId="16" xfId="0" applyNumberFormat="1" applyFont="1" applyFill="1" applyBorder="1" applyAlignment="1">
      <alignment horizontal="right" vertical="top"/>
    </xf>
    <xf numFmtId="0" fontId="107" fillId="35" borderId="17" xfId="0" applyFont="1" applyFill="1" applyBorder="1" applyAlignment="1">
      <alignment horizontal="left" vertical="top" wrapText="1"/>
    </xf>
    <xf numFmtId="0" fontId="104" fillId="0" borderId="21" xfId="0" applyFont="1" applyBorder="1" applyAlignment="1">
      <alignment horizontal="left" vertical="top" wrapText="1"/>
    </xf>
    <xf numFmtId="0" fontId="106" fillId="33" borderId="16" xfId="0" applyFont="1" applyFill="1" applyBorder="1" applyAlignment="1">
      <alignment horizontal="right" vertical="top" wrapText="1"/>
    </xf>
    <xf numFmtId="0" fontId="106" fillId="33" borderId="18" xfId="0" applyFont="1" applyFill="1" applyBorder="1" applyAlignment="1">
      <alignment horizontal="right" vertical="top" wrapText="1"/>
    </xf>
    <xf numFmtId="9" fontId="43" fillId="39" borderId="44" xfId="43" applyFont="1" applyFill="1" applyBorder="1" applyAlignment="1">
      <alignment horizontal="right" vertical="top"/>
    </xf>
    <xf numFmtId="171" fontId="43" fillId="39" borderId="47" xfId="0" applyNumberFormat="1" applyFont="1" applyFill="1" applyBorder="1" applyAlignment="1">
      <alignment horizontal="right" vertical="top"/>
    </xf>
    <xf numFmtId="168" fontId="43" fillId="39" borderId="47" xfId="45" applyNumberFormat="1" applyFont="1" applyFill="1" applyBorder="1" applyAlignment="1">
      <alignment horizontal="right" vertical="top"/>
    </xf>
    <xf numFmtId="0" fontId="107" fillId="34" borderId="17" xfId="0" applyFont="1" applyFill="1" applyBorder="1" applyAlignment="1">
      <alignment horizontal="left" vertical="top" wrapText="1"/>
    </xf>
    <xf numFmtId="0" fontId="102" fillId="33" borderId="25" xfId="0" applyFont="1" applyFill="1" applyBorder="1" applyAlignment="1">
      <alignment horizontal="right" vertical="top" wrapText="1"/>
    </xf>
    <xf numFmtId="0" fontId="102" fillId="33" borderId="25" xfId="0" applyFont="1" applyFill="1" applyBorder="1" applyAlignment="1">
      <alignment horizontal="left" vertical="top" wrapText="1"/>
    </xf>
    <xf numFmtId="0" fontId="102" fillId="0" borderId="0" xfId="0" applyFont="1" applyFill="1" applyAlignment="1">
      <alignment horizontal="left" vertical="top"/>
    </xf>
    <xf numFmtId="3" fontId="43" fillId="0" borderId="47" xfId="0" applyNumberFormat="1" applyFont="1" applyBorder="1" applyAlignment="1">
      <alignment horizontal="right" vertical="top"/>
    </xf>
    <xf numFmtId="0" fontId="95" fillId="0" borderId="21" xfId="0" applyFont="1" applyBorder="1" applyAlignment="1">
      <alignment horizontal="left" vertical="top" wrapText="1"/>
    </xf>
    <xf numFmtId="0" fontId="93" fillId="0" borderId="17" xfId="0" applyFont="1" applyBorder="1" applyAlignment="1">
      <alignment horizontal="left" vertical="top" wrapText="1"/>
    </xf>
    <xf numFmtId="3" fontId="68" fillId="0" borderId="16" xfId="0" applyNumberFormat="1" applyFont="1" applyBorder="1" applyAlignment="1">
      <alignment horizontal="right" vertical="top"/>
    </xf>
    <xf numFmtId="171" fontId="43" fillId="0" borderId="47" xfId="0" applyNumberFormat="1" applyFont="1" applyBorder="1" applyAlignment="1">
      <alignment horizontal="right" vertical="top"/>
    </xf>
    <xf numFmtId="171" fontId="43" fillId="0" borderId="44" xfId="0" applyNumberFormat="1" applyFont="1" applyBorder="1" applyAlignment="1">
      <alignment horizontal="right" vertical="top"/>
    </xf>
    <xf numFmtId="2" fontId="102" fillId="46" borderId="16" xfId="0" applyNumberFormat="1" applyFont="1" applyFill="1" applyBorder="1" applyAlignment="1">
      <alignment horizontal="right" vertical="top"/>
    </xf>
    <xf numFmtId="168" fontId="102" fillId="46" borderId="16" xfId="45" applyNumberFormat="1" applyFont="1" applyFill="1" applyBorder="1" applyAlignment="1">
      <alignment horizontal="right" vertical="top"/>
    </xf>
    <xf numFmtId="0" fontId="102" fillId="46" borderId="17" xfId="0" applyFont="1" applyFill="1" applyBorder="1" applyAlignment="1">
      <alignment horizontal="left" vertical="top" wrapText="1"/>
    </xf>
    <xf numFmtId="168" fontId="66" fillId="39" borderId="25" xfId="45" applyNumberFormat="1" applyFont="1" applyFill="1" applyBorder="1" applyAlignment="1">
      <alignment horizontal="right" vertical="top"/>
    </xf>
    <xf numFmtId="9" fontId="102" fillId="46" borderId="16" xfId="0" applyNumberFormat="1" applyFont="1" applyFill="1" applyBorder="1" applyAlignment="1">
      <alignment horizontal="right" vertical="top"/>
    </xf>
    <xf numFmtId="0" fontId="106" fillId="34" borderId="16" xfId="0" applyFont="1" applyFill="1" applyBorder="1" applyAlignment="1">
      <alignment horizontal="right" vertical="top" wrapText="1"/>
    </xf>
    <xf numFmtId="0" fontId="106" fillId="34" borderId="13" xfId="0" applyFont="1" applyFill="1" applyBorder="1" applyAlignment="1">
      <alignment horizontal="right" vertical="top" wrapText="1"/>
    </xf>
    <xf numFmtId="0" fontId="106" fillId="34" borderId="22" xfId="0" applyFont="1" applyFill="1" applyBorder="1" applyAlignment="1">
      <alignment horizontal="left" vertical="top" wrapText="1"/>
    </xf>
    <xf numFmtId="9" fontId="43" fillId="37" borderId="93" xfId="43" applyFont="1" applyFill="1" applyBorder="1" applyAlignment="1">
      <alignment horizontal="right" vertical="top"/>
    </xf>
    <xf numFmtId="9" fontId="43" fillId="37" borderId="94" xfId="43" applyFont="1" applyFill="1" applyBorder="1" applyAlignment="1">
      <alignment horizontal="right" vertical="top"/>
    </xf>
    <xf numFmtId="0" fontId="43" fillId="37" borderId="94" xfId="0" applyFont="1" applyFill="1" applyBorder="1" applyAlignment="1">
      <alignment horizontal="right" vertical="top"/>
    </xf>
    <xf numFmtId="0" fontId="102" fillId="33" borderId="57" xfId="0" applyFont="1" applyFill="1" applyBorder="1" applyAlignment="1">
      <alignment horizontal="left" vertical="top" wrapText="1"/>
    </xf>
    <xf numFmtId="9" fontId="43" fillId="37" borderId="96" xfId="43" applyFont="1" applyFill="1" applyBorder="1" applyAlignment="1">
      <alignment horizontal="right" vertical="top"/>
    </xf>
    <xf numFmtId="9" fontId="43" fillId="37" borderId="44" xfId="43" applyFont="1" applyFill="1" applyBorder="1" applyAlignment="1">
      <alignment horizontal="right" vertical="top"/>
    </xf>
    <xf numFmtId="0" fontId="43" fillId="37" borderId="44" xfId="0" applyFont="1" applyFill="1" applyBorder="1" applyAlignment="1">
      <alignment horizontal="right" vertical="top"/>
    </xf>
    <xf numFmtId="0" fontId="102" fillId="33" borderId="104" xfId="0" applyFont="1" applyFill="1" applyBorder="1" applyAlignment="1">
      <alignment horizontal="left" vertical="top" wrapText="1"/>
    </xf>
    <xf numFmtId="3" fontId="43" fillId="39" borderId="96" xfId="0" applyNumberFormat="1" applyFont="1" applyFill="1" applyBorder="1" applyAlignment="1">
      <alignment horizontal="right" vertical="top"/>
    </xf>
    <xf numFmtId="3" fontId="43" fillId="39" borderId="44" xfId="0" applyNumberFormat="1" applyFont="1" applyFill="1" applyBorder="1" applyAlignment="1">
      <alignment horizontal="right" vertical="top"/>
    </xf>
    <xf numFmtId="3" fontId="43" fillId="39" borderId="47" xfId="0" applyNumberFormat="1" applyFont="1" applyFill="1" applyBorder="1" applyAlignment="1">
      <alignment horizontal="right" vertical="top"/>
    </xf>
    <xf numFmtId="168" fontId="66" fillId="46" borderId="25" xfId="45" applyNumberFormat="1" applyFont="1" applyFill="1" applyBorder="1" applyAlignment="1">
      <alignment horizontal="right" vertical="top"/>
    </xf>
    <xf numFmtId="168" fontId="66" fillId="53" borderId="25" xfId="45" applyNumberFormat="1" applyFont="1" applyFill="1" applyBorder="1" applyAlignment="1">
      <alignment horizontal="right" vertical="top"/>
    </xf>
    <xf numFmtId="0" fontId="102" fillId="33" borderId="105" xfId="0" applyFont="1" applyFill="1" applyBorder="1" applyAlignment="1">
      <alignment horizontal="left" vertical="top" wrapText="1"/>
    </xf>
    <xf numFmtId="0" fontId="106" fillId="33" borderId="18" xfId="0" applyFont="1" applyFill="1" applyBorder="1" applyAlignment="1">
      <alignment horizontal="center" vertical="center" wrapText="1"/>
    </xf>
    <xf numFmtId="168" fontId="66" fillId="0" borderId="25" xfId="45" applyNumberFormat="1" applyFont="1" applyFill="1" applyBorder="1" applyAlignment="1">
      <alignment horizontal="right" vertical="top"/>
    </xf>
    <xf numFmtId="0" fontId="88" fillId="0" borderId="25" xfId="0" applyFont="1" applyFill="1" applyBorder="1" applyAlignment="1">
      <alignment horizontal="left" vertical="top"/>
    </xf>
    <xf numFmtId="0" fontId="106" fillId="33" borderId="25" xfId="0" applyFont="1" applyFill="1" applyBorder="1" applyAlignment="1">
      <alignment horizontal="center" vertical="top" wrapText="1"/>
    </xf>
    <xf numFmtId="0" fontId="106" fillId="33" borderId="16" xfId="0" applyFont="1" applyFill="1" applyBorder="1" applyAlignment="1">
      <alignment horizontal="center" vertical="top" wrapText="1"/>
    </xf>
    <xf numFmtId="0" fontId="106" fillId="33" borderId="18" xfId="0" applyFont="1" applyFill="1" applyBorder="1" applyAlignment="1">
      <alignment horizontal="center" vertical="top" wrapText="1"/>
    </xf>
    <xf numFmtId="0" fontId="106" fillId="34" borderId="14" xfId="0" applyFont="1" applyFill="1" applyBorder="1" applyAlignment="1">
      <alignment horizontal="right" vertical="top" wrapText="1"/>
    </xf>
    <xf numFmtId="0" fontId="106" fillId="34" borderId="11" xfId="0" applyFont="1" applyFill="1" applyBorder="1" applyAlignment="1">
      <alignment horizontal="right" vertical="top" wrapText="1"/>
    </xf>
    <xf numFmtId="0" fontId="106" fillId="33" borderId="16" xfId="0" applyFont="1" applyFill="1" applyBorder="1" applyAlignment="1">
      <alignment horizontal="center" vertical="center" wrapText="1"/>
    </xf>
    <xf numFmtId="164" fontId="66" fillId="39" borderId="25" xfId="45" applyNumberFormat="1" applyFont="1" applyFill="1" applyBorder="1" applyAlignment="1">
      <alignment horizontal="right" vertical="top"/>
    </xf>
    <xf numFmtId="0" fontId="109" fillId="46" borderId="25" xfId="0" applyFont="1" applyFill="1" applyBorder="1" applyAlignment="1">
      <alignment horizontal="center" vertical="center" wrapText="1"/>
    </xf>
    <xf numFmtId="0" fontId="93" fillId="46" borderId="25" xfId="0" applyFont="1" applyFill="1" applyBorder="1" applyAlignment="1">
      <alignment horizontal="left" vertical="top" wrapText="1"/>
    </xf>
    <xf numFmtId="0" fontId="102" fillId="33" borderId="16" xfId="0" applyFont="1" applyFill="1" applyBorder="1" applyAlignment="1">
      <alignment horizontal="center" vertical="top" wrapText="1"/>
    </xf>
    <xf numFmtId="0" fontId="102" fillId="33" borderId="18" xfId="0" applyFont="1" applyFill="1" applyBorder="1" applyAlignment="1">
      <alignment horizontal="center" vertical="top" wrapText="1"/>
    </xf>
    <xf numFmtId="0" fontId="106" fillId="34" borderId="20" xfId="0" applyFont="1" applyFill="1" applyBorder="1" applyAlignment="1">
      <alignment horizontal="left" vertical="top" wrapText="1"/>
    </xf>
    <xf numFmtId="0" fontId="106" fillId="33" borderId="20" xfId="0" applyFont="1" applyFill="1" applyBorder="1" applyAlignment="1">
      <alignment horizontal="left" vertical="top" wrapText="1"/>
    </xf>
    <xf numFmtId="0" fontId="43" fillId="0" borderId="0" xfId="53" applyFont="1" applyBorder="1" applyAlignment="1">
      <alignment horizontal="left" vertical="top" wrapText="1"/>
    </xf>
    <xf numFmtId="0" fontId="42" fillId="0" borderId="0" xfId="53" applyFont="1"/>
    <xf numFmtId="0" fontId="42" fillId="0" borderId="45" xfId="53" applyFont="1" applyBorder="1" applyAlignment="1"/>
    <xf numFmtId="0" fontId="42" fillId="0" borderId="43" xfId="53" applyFont="1" applyBorder="1" applyAlignment="1"/>
    <xf numFmtId="0" fontId="42" fillId="0" borderId="44" xfId="53" applyFont="1" applyBorder="1" applyAlignment="1"/>
    <xf numFmtId="0" fontId="43" fillId="39" borderId="45" xfId="53" applyFont="1" applyFill="1" applyBorder="1"/>
    <xf numFmtId="0" fontId="72" fillId="0" borderId="0" xfId="53" applyFont="1" applyAlignment="1">
      <alignment vertical="center"/>
    </xf>
    <xf numFmtId="0" fontId="82" fillId="0" borderId="0" xfId="53" applyFont="1" applyAlignment="1">
      <alignment vertical="top"/>
    </xf>
    <xf numFmtId="0" fontId="67" fillId="0" borderId="82" xfId="53" applyFont="1" applyBorder="1" applyAlignment="1">
      <alignment horizontal="center" vertical="top"/>
    </xf>
    <xf numFmtId="0" fontId="67" fillId="0" borderId="49" xfId="53" applyFont="1" applyBorder="1" applyAlignment="1">
      <alignment horizontal="center" vertical="top"/>
    </xf>
    <xf numFmtId="0" fontId="67" fillId="0" borderId="47" xfId="53" applyFont="1" applyBorder="1" applyAlignment="1">
      <alignment horizontal="center" vertical="top"/>
    </xf>
    <xf numFmtId="0" fontId="67" fillId="0" borderId="83" xfId="53" applyFont="1" applyBorder="1" applyAlignment="1">
      <alignment horizontal="center" vertical="top"/>
    </xf>
    <xf numFmtId="0" fontId="67" fillId="0" borderId="47" xfId="53" applyFont="1" applyBorder="1" applyAlignment="1">
      <alignment horizontal="center" vertical="center"/>
    </xf>
    <xf numFmtId="0" fontId="67" fillId="0" borderId="45" xfId="53" applyFont="1" applyBorder="1" applyAlignment="1">
      <alignment horizontal="center" vertical="top"/>
    </xf>
    <xf numFmtId="0" fontId="67" fillId="0" borderId="44" xfId="53" applyFont="1" applyBorder="1" applyAlignment="1">
      <alignment horizontal="center" vertical="top"/>
    </xf>
    <xf numFmtId="0" fontId="67" fillId="0" borderId="84" xfId="53" applyFont="1" applyBorder="1" applyAlignment="1">
      <alignment horizontal="center" vertical="top"/>
    </xf>
    <xf numFmtId="0" fontId="67" fillId="0" borderId="85" xfId="53" applyFont="1" applyBorder="1" applyAlignment="1">
      <alignment horizontal="center" vertical="top"/>
    </xf>
    <xf numFmtId="0" fontId="83" fillId="40" borderId="47" xfId="53" applyFont="1" applyFill="1" applyBorder="1" applyAlignment="1">
      <alignment vertical="top"/>
    </xf>
    <xf numFmtId="0" fontId="82" fillId="0" borderId="0" xfId="53" applyFont="1" applyBorder="1" applyAlignment="1">
      <alignment vertical="top"/>
    </xf>
    <xf numFmtId="49" fontId="72" fillId="0" borderId="47" xfId="53" applyNumberFormat="1" applyFont="1" applyBorder="1" applyAlignment="1">
      <alignment horizontal="center" vertical="center"/>
    </xf>
    <xf numFmtId="0" fontId="73" fillId="40" borderId="44" xfId="53" applyFont="1" applyFill="1" applyBorder="1" applyAlignment="1">
      <alignment vertical="center"/>
    </xf>
    <xf numFmtId="0" fontId="72" fillId="0" borderId="0" xfId="53" applyFont="1" applyBorder="1" applyAlignment="1">
      <alignment vertical="center"/>
    </xf>
    <xf numFmtId="0" fontId="82" fillId="0" borderId="45" xfId="53" applyFont="1" applyBorder="1" applyAlignment="1">
      <alignment vertical="top"/>
    </xf>
    <xf numFmtId="0" fontId="82" fillId="0" borderId="43" xfId="53" applyFont="1" applyBorder="1" applyAlignment="1">
      <alignment vertical="top"/>
    </xf>
    <xf numFmtId="0" fontId="82" fillId="0" borderId="44" xfId="53" applyFont="1" applyBorder="1" applyAlignment="1">
      <alignment vertical="top"/>
    </xf>
    <xf numFmtId="0" fontId="43" fillId="45" borderId="45" xfId="53" applyFont="1" applyFill="1" applyBorder="1" applyAlignment="1">
      <alignment vertical="top"/>
    </xf>
    <xf numFmtId="0" fontId="83" fillId="51" borderId="0" xfId="53" applyFont="1" applyFill="1" applyBorder="1" applyAlignment="1">
      <alignment vertical="top"/>
    </xf>
    <xf numFmtId="0" fontId="73" fillId="0" borderId="0" xfId="53" applyFont="1" applyAlignment="1">
      <alignment vertical="center"/>
    </xf>
    <xf numFmtId="0" fontId="93" fillId="0" borderId="0" xfId="0" applyFont="1" applyAlignment="1">
      <alignment horizontal="center" vertical="top"/>
    </xf>
    <xf numFmtId="0" fontId="83" fillId="0" borderId="47" xfId="0" applyFont="1" applyFill="1" applyBorder="1" applyAlignment="1">
      <alignment horizontal="left" vertical="top"/>
    </xf>
    <xf numFmtId="0" fontId="83" fillId="0" borderId="44" xfId="0" applyFont="1" applyFill="1" applyBorder="1" applyAlignment="1">
      <alignment horizontal="left" vertical="top"/>
    </xf>
    <xf numFmtId="0" fontId="83" fillId="0" borderId="49" xfId="0" applyFont="1" applyFill="1" applyBorder="1" applyAlignment="1">
      <alignment horizontal="left" vertical="top"/>
    </xf>
    <xf numFmtId="0" fontId="94" fillId="39" borderId="17" xfId="0" applyFont="1" applyFill="1" applyBorder="1" applyAlignment="1">
      <alignment horizontal="left" vertical="top" wrapText="1"/>
    </xf>
    <xf numFmtId="1" fontId="94" fillId="39" borderId="16" xfId="0" applyNumberFormat="1" applyFont="1" applyFill="1" applyBorder="1" applyAlignment="1">
      <alignment horizontal="center" vertical="center"/>
    </xf>
    <xf numFmtId="168" fontId="94" fillId="39" borderId="16" xfId="45" applyNumberFormat="1" applyFont="1" applyFill="1" applyBorder="1" applyAlignment="1">
      <alignment horizontal="center" vertical="center"/>
    </xf>
    <xf numFmtId="0" fontId="99" fillId="39" borderId="16" xfId="0" applyFont="1" applyFill="1" applyBorder="1" applyAlignment="1">
      <alignment horizontal="center" vertical="center" wrapText="1"/>
    </xf>
    <xf numFmtId="0" fontId="94" fillId="46" borderId="17" xfId="0" applyFont="1" applyFill="1" applyBorder="1" applyAlignment="1">
      <alignment horizontal="left" vertical="top" wrapText="1"/>
    </xf>
    <xf numFmtId="3" fontId="94" fillId="46" borderId="17" xfId="0" applyNumberFormat="1" applyFont="1" applyFill="1" applyBorder="1" applyAlignment="1">
      <alignment horizontal="center" vertical="center" wrapText="1"/>
    </xf>
    <xf numFmtId="49" fontId="94" fillId="46" borderId="17" xfId="0" applyNumberFormat="1" applyFont="1" applyFill="1" applyBorder="1" applyAlignment="1">
      <alignment horizontal="center" vertical="center" wrapText="1"/>
    </xf>
    <xf numFmtId="0" fontId="99" fillId="46" borderId="16" xfId="0" applyFont="1" applyFill="1" applyBorder="1" applyAlignment="1">
      <alignment horizontal="center" vertical="center" wrapText="1"/>
    </xf>
    <xf numFmtId="0" fontId="97" fillId="39" borderId="17" xfId="0" applyFont="1" applyFill="1" applyBorder="1" applyAlignment="1">
      <alignment horizontal="left" vertical="top" wrapText="1"/>
    </xf>
    <xf numFmtId="1" fontId="93" fillId="39" borderId="16" xfId="0" applyNumberFormat="1" applyFont="1" applyFill="1" applyBorder="1" applyAlignment="1">
      <alignment horizontal="center" vertical="center"/>
    </xf>
    <xf numFmtId="1" fontId="93" fillId="33" borderId="16" xfId="0" applyNumberFormat="1" applyFont="1" applyFill="1" applyBorder="1" applyAlignment="1">
      <alignment horizontal="center" vertical="center"/>
    </xf>
    <xf numFmtId="0" fontId="98" fillId="39" borderId="17" xfId="0" applyFont="1" applyFill="1" applyBorder="1" applyAlignment="1">
      <alignment horizontal="left" vertical="top" wrapText="1"/>
    </xf>
    <xf numFmtId="0" fontId="93" fillId="39" borderId="17" xfId="0" applyFont="1" applyFill="1" applyBorder="1" applyAlignment="1">
      <alignment horizontal="left" vertical="top" wrapText="1"/>
    </xf>
    <xf numFmtId="3" fontId="93" fillId="0" borderId="17" xfId="0" applyNumberFormat="1" applyFont="1" applyFill="1" applyBorder="1" applyAlignment="1">
      <alignment horizontal="center" vertical="center" wrapText="1"/>
    </xf>
    <xf numFmtId="3" fontId="93" fillId="39" borderId="17" xfId="0" applyNumberFormat="1" applyFont="1" applyFill="1" applyBorder="1" applyAlignment="1">
      <alignment horizontal="center" vertical="center" wrapText="1"/>
    </xf>
    <xf numFmtId="165" fontId="93" fillId="33" borderId="16" xfId="0" applyNumberFormat="1" applyFont="1" applyFill="1" applyBorder="1" applyAlignment="1">
      <alignment horizontal="center" vertical="center"/>
    </xf>
    <xf numFmtId="0" fontId="98" fillId="35" borderId="17" xfId="0" applyFont="1" applyFill="1" applyBorder="1" applyAlignment="1">
      <alignment horizontal="left" vertical="top" wrapText="1"/>
    </xf>
    <xf numFmtId="0" fontId="97" fillId="39" borderId="16" xfId="0" applyFont="1" applyFill="1" applyBorder="1" applyAlignment="1">
      <alignment horizontal="center" vertical="center" wrapText="1"/>
    </xf>
    <xf numFmtId="3" fontId="93" fillId="33" borderId="17" xfId="0" applyNumberFormat="1" applyFont="1" applyFill="1" applyBorder="1" applyAlignment="1">
      <alignment horizontal="center" vertical="center" wrapText="1"/>
    </xf>
    <xf numFmtId="0" fontId="98" fillId="0" borderId="21" xfId="0" applyFont="1" applyBorder="1" applyAlignment="1">
      <alignment horizontal="left" vertical="top" wrapText="1"/>
    </xf>
    <xf numFmtId="3" fontId="97" fillId="35" borderId="18" xfId="0" applyNumberFormat="1" applyFont="1" applyFill="1" applyBorder="1" applyAlignment="1">
      <alignment horizontal="center" vertical="center"/>
    </xf>
    <xf numFmtId="0" fontId="93" fillId="34" borderId="17" xfId="0" applyFont="1" applyFill="1" applyBorder="1" applyAlignment="1">
      <alignment horizontal="left" vertical="top" wrapText="1"/>
    </xf>
    <xf numFmtId="0" fontId="98" fillId="34" borderId="22" xfId="0" applyFont="1" applyFill="1" applyBorder="1" applyAlignment="1">
      <alignment horizontal="left" vertical="top" wrapText="1"/>
    </xf>
    <xf numFmtId="0" fontId="98" fillId="39" borderId="22" xfId="0" applyFont="1" applyFill="1" applyBorder="1" applyAlignment="1">
      <alignment horizontal="left" vertical="top" wrapText="1"/>
    </xf>
    <xf numFmtId="0" fontId="98" fillId="0" borderId="25" xfId="0" applyFont="1" applyFill="1" applyBorder="1" applyAlignment="1">
      <alignment horizontal="left" vertical="top" wrapText="1"/>
    </xf>
    <xf numFmtId="0" fontId="97" fillId="33" borderId="66" xfId="0" applyFont="1" applyFill="1" applyBorder="1" applyAlignment="1">
      <alignment horizontal="center" vertical="center" wrapText="1"/>
    </xf>
    <xf numFmtId="4" fontId="93" fillId="33" borderId="17" xfId="0" applyNumberFormat="1" applyFont="1" applyFill="1" applyBorder="1" applyAlignment="1">
      <alignment horizontal="center" vertical="center" wrapText="1"/>
    </xf>
    <xf numFmtId="0" fontId="93" fillId="0" borderId="0" xfId="0" applyFont="1" applyAlignment="1">
      <alignment horizontal="left" vertical="top"/>
    </xf>
    <xf numFmtId="3" fontId="93" fillId="0" borderId="0" xfId="0" applyNumberFormat="1" applyFont="1" applyAlignment="1">
      <alignment horizontal="center" vertical="top"/>
    </xf>
    <xf numFmtId="3" fontId="97" fillId="39" borderId="17" xfId="0" applyNumberFormat="1" applyFont="1" applyFill="1" applyBorder="1" applyAlignment="1">
      <alignment horizontal="center" vertical="center" wrapText="1"/>
    </xf>
    <xf numFmtId="0" fontId="97" fillId="0" borderId="21" xfId="0" applyFont="1" applyBorder="1" applyAlignment="1">
      <alignment horizontal="left" vertical="top" wrapText="1"/>
    </xf>
    <xf numFmtId="3" fontId="99" fillId="0" borderId="16" xfId="0" applyNumberFormat="1" applyFont="1" applyBorder="1" applyAlignment="1">
      <alignment horizontal="center" vertical="center"/>
    </xf>
    <xf numFmtId="0" fontId="83" fillId="0" borderId="47" xfId="0" applyFont="1" applyBorder="1" applyAlignment="1">
      <alignment horizontal="center" vertical="top"/>
    </xf>
    <xf numFmtId="0" fontId="82" fillId="0" borderId="0" xfId="0" applyFont="1" applyAlignment="1">
      <alignment horizontal="center" vertical="top"/>
    </xf>
    <xf numFmtId="0" fontId="82" fillId="0" borderId="0" xfId="0" applyFont="1" applyAlignment="1">
      <alignment horizontal="left" vertical="top"/>
    </xf>
    <xf numFmtId="0" fontId="98" fillId="36" borderId="17" xfId="0" applyFont="1" applyFill="1" applyBorder="1" applyAlignment="1">
      <alignment horizontal="left" vertical="top" wrapText="1"/>
    </xf>
    <xf numFmtId="3" fontId="97" fillId="36" borderId="16" xfId="0" applyNumberFormat="1" applyFont="1" applyFill="1" applyBorder="1" applyAlignment="1">
      <alignment horizontal="center" vertical="center"/>
    </xf>
    <xf numFmtId="0" fontId="82" fillId="0" borderId="46" xfId="0" applyFont="1" applyBorder="1" applyAlignment="1">
      <alignment horizontal="center" vertical="top"/>
    </xf>
    <xf numFmtId="0" fontId="97" fillId="34" borderId="17" xfId="0" applyFont="1" applyFill="1" applyBorder="1" applyAlignment="1">
      <alignment horizontal="left" vertical="top" wrapText="1"/>
    </xf>
    <xf numFmtId="0" fontId="83" fillId="39" borderId="66" xfId="0" applyFont="1" applyFill="1" applyBorder="1" applyAlignment="1">
      <alignment horizontal="center" vertical="top"/>
    </xf>
    <xf numFmtId="0" fontId="83" fillId="46" borderId="66" xfId="0" applyFont="1" applyFill="1" applyBorder="1" applyAlignment="1">
      <alignment horizontal="center" vertical="top"/>
    </xf>
    <xf numFmtId="0" fontId="83" fillId="46" borderId="66" xfId="0" applyFont="1" applyFill="1" applyBorder="1" applyAlignment="1">
      <alignment horizontal="left" vertical="top"/>
    </xf>
    <xf numFmtId="0" fontId="82" fillId="0" borderId="47" xfId="0" applyFont="1" applyBorder="1" applyAlignment="1">
      <alignment horizontal="center" vertical="top"/>
    </xf>
    <xf numFmtId="3" fontId="82" fillId="39" borderId="25" xfId="0" applyNumberFormat="1" applyFont="1" applyFill="1" applyBorder="1" applyAlignment="1">
      <alignment horizontal="center" vertical="top"/>
    </xf>
    <xf numFmtId="3" fontId="82" fillId="39" borderId="25" xfId="0" applyNumberFormat="1" applyFont="1" applyFill="1" applyBorder="1" applyAlignment="1">
      <alignment horizontal="left" vertical="top"/>
    </xf>
    <xf numFmtId="0" fontId="99" fillId="33" borderId="17" xfId="0" applyFont="1" applyFill="1" applyBorder="1" applyAlignment="1">
      <alignment horizontal="left" vertical="top" wrapText="1"/>
    </xf>
    <xf numFmtId="3" fontId="83" fillId="39" borderId="25" xfId="0" applyNumberFormat="1" applyFont="1" applyFill="1" applyBorder="1" applyAlignment="1">
      <alignment horizontal="center" vertical="top"/>
    </xf>
    <xf numFmtId="3" fontId="83" fillId="39" borderId="25" xfId="0" applyNumberFormat="1" applyFont="1" applyFill="1" applyBorder="1" applyAlignment="1">
      <alignment horizontal="left" vertical="top"/>
    </xf>
    <xf numFmtId="166" fontId="93" fillId="0" borderId="16" xfId="0" applyNumberFormat="1" applyFont="1" applyBorder="1" applyAlignment="1">
      <alignment horizontal="center" vertical="center"/>
    </xf>
    <xf numFmtId="3" fontId="82" fillId="46" borderId="25" xfId="0" applyNumberFormat="1" applyFont="1" applyFill="1" applyBorder="1" applyAlignment="1">
      <alignment horizontal="center" vertical="top"/>
    </xf>
    <xf numFmtId="3" fontId="82" fillId="46" borderId="25" xfId="0" applyNumberFormat="1" applyFont="1" applyFill="1" applyBorder="1" applyAlignment="1">
      <alignment horizontal="left" vertical="top"/>
    </xf>
    <xf numFmtId="0" fontId="94" fillId="0" borderId="17" xfId="0" applyFont="1" applyBorder="1" applyAlignment="1">
      <alignment horizontal="left" vertical="top" wrapText="1"/>
    </xf>
    <xf numFmtId="166" fontId="94" fillId="0" borderId="16" xfId="0" applyNumberFormat="1" applyFont="1" applyBorder="1" applyAlignment="1">
      <alignment horizontal="center" vertical="center"/>
    </xf>
    <xf numFmtId="166" fontId="82" fillId="39" borderId="25" xfId="0" applyNumberFormat="1" applyFont="1" applyFill="1" applyBorder="1" applyAlignment="1">
      <alignment horizontal="center" vertical="top"/>
    </xf>
    <xf numFmtId="166" fontId="82" fillId="0" borderId="25" xfId="0" applyNumberFormat="1" applyFont="1" applyFill="1" applyBorder="1" applyAlignment="1">
      <alignment horizontal="center" vertical="top"/>
    </xf>
    <xf numFmtId="166" fontId="82" fillId="46" borderId="25" xfId="0" applyNumberFormat="1" applyFont="1" applyFill="1" applyBorder="1" applyAlignment="1">
      <alignment horizontal="center" vertical="top"/>
    </xf>
    <xf numFmtId="166" fontId="82" fillId="46" borderId="25" xfId="0" applyNumberFormat="1" applyFont="1" applyFill="1" applyBorder="1" applyAlignment="1">
      <alignment horizontal="left" vertical="top"/>
    </xf>
    <xf numFmtId="3" fontId="83" fillId="0" borderId="25" xfId="0" applyNumberFormat="1" applyFont="1" applyFill="1" applyBorder="1" applyAlignment="1">
      <alignment horizontal="center" vertical="top"/>
    </xf>
    <xf numFmtId="3" fontId="83" fillId="46" borderId="25" xfId="0" applyNumberFormat="1" applyFont="1" applyFill="1" applyBorder="1" applyAlignment="1">
      <alignment horizontal="center" vertical="top"/>
    </xf>
    <xf numFmtId="3" fontId="83" fillId="46" borderId="25" xfId="0" applyNumberFormat="1" applyFont="1" applyFill="1" applyBorder="1" applyAlignment="1">
      <alignment horizontal="left" vertical="top"/>
    </xf>
    <xf numFmtId="0" fontId="83" fillId="35" borderId="17" xfId="0" applyFont="1" applyFill="1" applyBorder="1" applyAlignment="1">
      <alignment horizontal="left" vertical="top" wrapText="1"/>
    </xf>
    <xf numFmtId="0" fontId="97" fillId="0" borderId="17" xfId="0" applyFont="1" applyBorder="1" applyAlignment="1">
      <alignment horizontal="left" vertical="top" wrapText="1"/>
    </xf>
    <xf numFmtId="0" fontId="98" fillId="35" borderId="0" xfId="0" applyFont="1" applyFill="1" applyBorder="1" applyAlignment="1">
      <alignment horizontal="left" vertical="top" wrapText="1"/>
    </xf>
    <xf numFmtId="0" fontId="83" fillId="0" borderId="37" xfId="0" applyFont="1" applyBorder="1" applyAlignment="1">
      <alignment horizontal="left" vertical="top"/>
    </xf>
    <xf numFmtId="0" fontId="83" fillId="0" borderId="36" xfId="0" applyFont="1" applyBorder="1" applyAlignment="1">
      <alignment horizontal="center" vertical="center"/>
    </xf>
    <xf numFmtId="0" fontId="83" fillId="0" borderId="37" xfId="0" applyFont="1" applyBorder="1" applyAlignment="1">
      <alignment horizontal="center" vertical="center"/>
    </xf>
    <xf numFmtId="0" fontId="83" fillId="0" borderId="39" xfId="0" applyFont="1" applyBorder="1" applyAlignment="1">
      <alignment horizontal="left" vertical="top"/>
    </xf>
    <xf numFmtId="0" fontId="83" fillId="0" borderId="25" xfId="0" applyFont="1" applyBorder="1" applyAlignment="1">
      <alignment horizontal="center" vertical="center"/>
    </xf>
    <xf numFmtId="0" fontId="83" fillId="0" borderId="39" xfId="0" applyFont="1" applyBorder="1" applyAlignment="1">
      <alignment horizontal="center" vertical="center"/>
    </xf>
    <xf numFmtId="0" fontId="83" fillId="0" borderId="42" xfId="0" applyFont="1" applyBorder="1" applyAlignment="1">
      <alignment horizontal="left" vertical="top"/>
    </xf>
    <xf numFmtId="0" fontId="83" fillId="0" borderId="41" xfId="0" applyFont="1" applyBorder="1" applyAlignment="1">
      <alignment horizontal="center" vertical="center"/>
    </xf>
    <xf numFmtId="0" fontId="83" fillId="0" borderId="42" xfId="0" applyFont="1" applyBorder="1" applyAlignment="1">
      <alignment horizontal="center" vertical="center"/>
    </xf>
    <xf numFmtId="0" fontId="83" fillId="0" borderId="0" xfId="0" applyFont="1" applyBorder="1" applyAlignment="1">
      <alignment horizontal="left" vertical="top"/>
    </xf>
    <xf numFmtId="0" fontId="97" fillId="0" borderId="0" xfId="0" applyFont="1" applyAlignment="1">
      <alignment horizontal="center" vertical="center"/>
    </xf>
    <xf numFmtId="0" fontId="83" fillId="0" borderId="0" xfId="0" applyFont="1" applyBorder="1" applyAlignment="1">
      <alignment horizontal="center" vertical="center"/>
    </xf>
    <xf numFmtId="0" fontId="98" fillId="35" borderId="26" xfId="0" applyFont="1" applyFill="1" applyBorder="1" applyAlignment="1">
      <alignment horizontal="left" vertical="top"/>
    </xf>
    <xf numFmtId="0" fontId="118" fillId="0" borderId="0" xfId="0" applyFont="1" applyAlignment="1">
      <alignment horizontal="left" vertical="top"/>
    </xf>
    <xf numFmtId="0" fontId="93" fillId="0" borderId="0" xfId="0" applyFont="1" applyAlignment="1">
      <alignment horizontal="center" vertical="center"/>
    </xf>
    <xf numFmtId="0" fontId="18" fillId="33" borderId="17" xfId="0" applyFont="1" applyFill="1" applyBorder="1" applyAlignment="1">
      <alignment horizontal="center" vertical="top" wrapText="1"/>
    </xf>
    <xf numFmtId="9" fontId="28" fillId="44" borderId="10" xfId="0" applyNumberFormat="1" applyFont="1" applyFill="1" applyBorder="1" applyAlignment="1">
      <alignment horizontal="center" vertical="top"/>
    </xf>
    <xf numFmtId="9" fontId="28" fillId="44" borderId="11" xfId="0" applyNumberFormat="1" applyFont="1" applyFill="1" applyBorder="1" applyAlignment="1">
      <alignment horizontal="center" vertical="top"/>
    </xf>
    <xf numFmtId="9" fontId="28" fillId="44" borderId="14" xfId="0" applyNumberFormat="1" applyFont="1" applyFill="1" applyBorder="1" applyAlignment="1">
      <alignment horizontal="center" vertical="top"/>
    </xf>
    <xf numFmtId="0" fontId="106" fillId="0" borderId="0" xfId="0" applyFont="1" applyAlignment="1">
      <alignment horizontal="left" vertical="top"/>
    </xf>
    <xf numFmtId="0" fontId="102" fillId="33" borderId="19" xfId="0" applyFont="1" applyFill="1" applyBorder="1" applyAlignment="1">
      <alignment horizontal="left" vertical="top" wrapText="1"/>
    </xf>
    <xf numFmtId="0" fontId="102" fillId="33" borderId="17" xfId="0" applyFont="1" applyFill="1" applyBorder="1" applyAlignment="1">
      <alignment horizontal="left" vertical="top" wrapText="1"/>
    </xf>
    <xf numFmtId="0" fontId="106" fillId="34" borderId="10" xfId="0" applyFont="1" applyFill="1" applyBorder="1" applyAlignment="1">
      <alignment horizontal="left" vertical="top" wrapText="1"/>
    </xf>
    <xf numFmtId="0" fontId="18" fillId="33" borderId="17" xfId="0" applyFont="1" applyFill="1" applyBorder="1" applyAlignment="1">
      <alignment horizontal="left" vertical="top" wrapText="1"/>
    </xf>
    <xf numFmtId="0" fontId="93" fillId="33" borderId="17" xfId="0" applyFont="1" applyFill="1" applyBorder="1" applyAlignment="1">
      <alignment horizontal="left" vertical="top" wrapText="1"/>
    </xf>
    <xf numFmtId="0" fontId="18" fillId="33" borderId="17" xfId="0" applyFont="1" applyFill="1" applyBorder="1" applyAlignment="1">
      <alignment horizontal="center" vertical="top" wrapText="1"/>
    </xf>
    <xf numFmtId="0" fontId="18" fillId="39" borderId="11" xfId="0" applyFont="1" applyFill="1" applyBorder="1" applyAlignment="1">
      <alignment horizontal="left" vertical="top" wrapText="1"/>
    </xf>
    <xf numFmtId="0" fontId="18" fillId="39" borderId="14" xfId="0" applyFont="1" applyFill="1" applyBorder="1" applyAlignment="1">
      <alignment horizontal="left" vertical="top" wrapText="1"/>
    </xf>
    <xf numFmtId="0" fontId="19" fillId="33" borderId="19" xfId="0" applyFont="1" applyFill="1" applyBorder="1" applyAlignment="1">
      <alignment horizontal="center" vertical="top" wrapText="1"/>
    </xf>
    <xf numFmtId="0" fontId="19" fillId="33" borderId="17" xfId="0" applyFont="1" applyFill="1" applyBorder="1" applyAlignment="1">
      <alignment horizontal="center" vertical="top" wrapText="1"/>
    </xf>
    <xf numFmtId="0" fontId="16" fillId="0" borderId="0" xfId="0" applyFont="1" applyAlignment="1">
      <alignment horizontal="center" vertical="top"/>
    </xf>
    <xf numFmtId="0" fontId="97" fillId="0" borderId="0" xfId="0" applyFont="1" applyAlignment="1">
      <alignment horizontal="center"/>
    </xf>
    <xf numFmtId="0" fontId="83" fillId="35" borderId="0" xfId="0" applyFont="1" applyFill="1" applyAlignment="1">
      <alignment horizontal="center"/>
    </xf>
    <xf numFmtId="0" fontId="93" fillId="33" borderId="19" xfId="0" applyFont="1" applyFill="1" applyBorder="1" applyAlignment="1">
      <alignment horizontal="center" vertical="center" wrapText="1"/>
    </xf>
    <xf numFmtId="0" fontId="93" fillId="33" borderId="17" xfId="0" applyFont="1" applyFill="1" applyBorder="1" applyAlignment="1">
      <alignment horizontal="center" vertical="center" wrapText="1"/>
    </xf>
    <xf numFmtId="0" fontId="94" fillId="35" borderId="0" xfId="0" applyFont="1" applyFill="1" applyBorder="1" applyAlignment="1">
      <alignment horizontal="left" wrapText="1"/>
    </xf>
    <xf numFmtId="0" fontId="94" fillId="35" borderId="0" xfId="0" applyFont="1" applyFill="1" applyBorder="1" applyAlignment="1">
      <alignment horizontal="left" vertical="top" wrapText="1"/>
    </xf>
    <xf numFmtId="0" fontId="95" fillId="35" borderId="0" xfId="0" applyFont="1" applyFill="1" applyBorder="1" applyAlignment="1">
      <alignment horizontal="left" vertical="top" wrapText="1"/>
    </xf>
    <xf numFmtId="0" fontId="106" fillId="0" borderId="0" xfId="0" applyFont="1" applyAlignment="1">
      <alignment horizontal="left" vertical="top"/>
    </xf>
    <xf numFmtId="0" fontId="18" fillId="33" borderId="17" xfId="0" applyFont="1" applyFill="1" applyBorder="1" applyAlignment="1">
      <alignment horizontal="left" vertical="top" wrapText="1"/>
    </xf>
    <xf numFmtId="0" fontId="93" fillId="33" borderId="17" xfId="0" applyFont="1" applyFill="1" applyBorder="1" applyAlignment="1">
      <alignment horizontal="left" vertical="top" wrapText="1"/>
    </xf>
    <xf numFmtId="0" fontId="93" fillId="33" borderId="25" xfId="0" applyFont="1" applyFill="1" applyBorder="1" applyAlignment="1">
      <alignment horizontal="left" vertical="top" wrapText="1"/>
    </xf>
    <xf numFmtId="0" fontId="93" fillId="33" borderId="22" xfId="0" applyFont="1" applyFill="1" applyBorder="1" applyAlignment="1">
      <alignment horizontal="left" vertical="top" wrapText="1"/>
    </xf>
    <xf numFmtId="169" fontId="44" fillId="0" borderId="0" xfId="45" applyNumberFormat="1" applyFont="1" applyAlignment="1">
      <alignment vertical="top"/>
    </xf>
    <xf numFmtId="168" fontId="44" fillId="0" borderId="0" xfId="45" applyNumberFormat="1" applyFont="1" applyAlignment="1">
      <alignment vertical="top"/>
    </xf>
    <xf numFmtId="0" fontId="46" fillId="33" borderId="17" xfId="0" applyFont="1" applyFill="1" applyBorder="1" applyAlignment="1">
      <alignment horizontal="center" vertical="top" wrapText="1"/>
    </xf>
    <xf numFmtId="165" fontId="46" fillId="33" borderId="16" xfId="0" applyNumberFormat="1" applyFont="1" applyFill="1" applyBorder="1" applyAlignment="1">
      <alignment horizontal="center" vertical="top"/>
    </xf>
    <xf numFmtId="169" fontId="44" fillId="0" borderId="0" xfId="0" applyNumberFormat="1" applyFont="1" applyAlignment="1">
      <alignment vertical="top"/>
    </xf>
    <xf numFmtId="3" fontId="49" fillId="39" borderId="16" xfId="0" applyNumberFormat="1" applyFont="1" applyFill="1" applyBorder="1" applyAlignment="1">
      <alignment horizontal="center" vertical="top"/>
    </xf>
    <xf numFmtId="3" fontId="46" fillId="0" borderId="0" xfId="0" applyNumberFormat="1" applyFont="1" applyBorder="1" applyAlignment="1">
      <alignment horizontal="center" vertical="top"/>
    </xf>
    <xf numFmtId="9" fontId="46" fillId="0" borderId="16" xfId="43" applyFont="1" applyBorder="1" applyAlignment="1">
      <alignment horizontal="center" vertical="top"/>
    </xf>
    <xf numFmtId="168" fontId="28" fillId="39" borderId="16" xfId="45" applyNumberFormat="1" applyFont="1" applyFill="1" applyBorder="1" applyAlignment="1">
      <alignment horizontal="center" vertical="center" wrapText="1"/>
    </xf>
    <xf numFmtId="3" fontId="28" fillId="0" borderId="16" xfId="0" applyNumberFormat="1" applyFont="1" applyBorder="1" applyAlignment="1">
      <alignment horizontal="center" vertical="top"/>
    </xf>
    <xf numFmtId="3" fontId="49" fillId="0" borderId="16" xfId="0" applyNumberFormat="1" applyFont="1" applyBorder="1" applyAlignment="1">
      <alignment horizontal="center" vertical="top"/>
    </xf>
    <xf numFmtId="165" fontId="18" fillId="0" borderId="16" xfId="43" applyNumberFormat="1" applyFont="1" applyBorder="1" applyAlignment="1">
      <alignment horizontal="center" vertical="top"/>
    </xf>
    <xf numFmtId="168" fontId="0" fillId="0" borderId="0" xfId="45" applyNumberFormat="1" applyFont="1"/>
    <xf numFmtId="168" fontId="0" fillId="0" borderId="0" xfId="0" applyNumberFormat="1"/>
    <xf numFmtId="168" fontId="18" fillId="39" borderId="16" xfId="45" applyNumberFormat="1" applyFont="1" applyFill="1" applyBorder="1" applyAlignment="1">
      <alignment horizontal="center" vertical="center"/>
    </xf>
    <xf numFmtId="0" fontId="28" fillId="33" borderId="17" xfId="0" applyFont="1" applyFill="1" applyBorder="1" applyAlignment="1">
      <alignment vertical="top" wrapText="1"/>
    </xf>
    <xf numFmtId="168" fontId="28" fillId="39" borderId="16" xfId="45" applyNumberFormat="1" applyFont="1" applyFill="1" applyBorder="1" applyAlignment="1">
      <alignment horizontal="center" vertical="center"/>
    </xf>
    <xf numFmtId="9" fontId="28" fillId="39" borderId="16" xfId="43" applyFont="1" applyFill="1" applyBorder="1" applyAlignment="1">
      <alignment horizontal="center" vertical="top"/>
    </xf>
    <xf numFmtId="0" fontId="94" fillId="33" borderId="17" xfId="0" applyFont="1" applyFill="1" applyBorder="1" applyAlignment="1">
      <alignment horizontal="left" vertical="top" wrapText="1"/>
    </xf>
    <xf numFmtId="9" fontId="66" fillId="39" borderId="25" xfId="43" applyFont="1" applyFill="1" applyBorder="1" applyAlignment="1">
      <alignment horizontal="right" vertical="top"/>
    </xf>
    <xf numFmtId="0" fontId="96" fillId="0" borderId="25" xfId="0" applyFont="1" applyFill="1" applyBorder="1" applyAlignment="1">
      <alignment horizontal="left" vertical="top"/>
    </xf>
    <xf numFmtId="9" fontId="105" fillId="39" borderId="44" xfId="43" applyFont="1" applyFill="1" applyBorder="1" applyAlignment="1">
      <alignment horizontal="right" vertical="top"/>
    </xf>
    <xf numFmtId="9" fontId="103" fillId="39" borderId="16" xfId="43" applyFont="1" applyFill="1" applyBorder="1" applyAlignment="1">
      <alignment horizontal="right" vertical="top"/>
    </xf>
    <xf numFmtId="0" fontId="119" fillId="0" borderId="17" xfId="0" applyFont="1" applyBorder="1" applyAlignment="1">
      <alignment horizontal="left" vertical="top" wrapText="1"/>
    </xf>
    <xf numFmtId="0" fontId="67" fillId="0" borderId="36" xfId="0" applyFont="1" applyBorder="1" applyAlignment="1">
      <alignment horizontal="left" vertical="top"/>
    </xf>
    <xf numFmtId="0" fontId="67" fillId="0" borderId="37" xfId="0" applyFont="1" applyBorder="1" applyAlignment="1">
      <alignment horizontal="left" vertical="top"/>
    </xf>
    <xf numFmtId="0" fontId="67" fillId="0" borderId="36" xfId="0" applyFont="1" applyBorder="1" applyAlignment="1">
      <alignment horizontal="right" vertical="top"/>
    </xf>
    <xf numFmtId="0" fontId="67" fillId="0" borderId="37" xfId="0" applyFont="1" applyBorder="1" applyAlignment="1">
      <alignment horizontal="right" vertical="top"/>
    </xf>
    <xf numFmtId="0" fontId="68" fillId="0" borderId="0" xfId="0" applyFont="1" applyAlignment="1">
      <alignment horizontal="left" vertical="top"/>
    </xf>
    <xf numFmtId="0" fontId="67" fillId="0" borderId="25" xfId="0" applyFont="1" applyBorder="1" applyAlignment="1">
      <alignment horizontal="left" vertical="top"/>
    </xf>
    <xf numFmtId="0" fontId="67" fillId="0" borderId="39" xfId="0" applyFont="1" applyBorder="1" applyAlignment="1">
      <alignment horizontal="left" vertical="top"/>
    </xf>
    <xf numFmtId="0" fontId="67" fillId="0" borderId="25" xfId="0" applyFont="1" applyBorder="1" applyAlignment="1">
      <alignment horizontal="right" vertical="top"/>
    </xf>
    <xf numFmtId="0" fontId="67" fillId="0" borderId="39" xfId="0" applyFont="1" applyBorder="1" applyAlignment="1">
      <alignment horizontal="right" vertical="top"/>
    </xf>
    <xf numFmtId="0" fontId="67" fillId="0" borderId="41" xfId="0" applyFont="1" applyBorder="1" applyAlignment="1">
      <alignment horizontal="left" vertical="top"/>
    </xf>
    <xf numFmtId="0" fontId="67" fillId="0" borderId="42" xfId="0" applyFont="1" applyBorder="1" applyAlignment="1">
      <alignment horizontal="left" vertical="top"/>
    </xf>
    <xf numFmtId="0" fontId="67" fillId="0" borderId="41" xfId="0" applyFont="1" applyBorder="1" applyAlignment="1">
      <alignment horizontal="right" vertical="top"/>
    </xf>
    <xf numFmtId="0" fontId="67" fillId="0" borderId="42" xfId="0" applyFont="1" applyBorder="1" applyAlignment="1">
      <alignment horizontal="right" vertical="top"/>
    </xf>
    <xf numFmtId="0" fontId="119" fillId="33" borderId="17" xfId="0" applyFont="1" applyFill="1" applyBorder="1" applyAlignment="1">
      <alignment horizontal="left" vertical="top" wrapText="1"/>
    </xf>
    <xf numFmtId="168" fontId="67" fillId="39" borderId="25" xfId="45" applyNumberFormat="1" applyFont="1" applyFill="1" applyBorder="1" applyAlignment="1">
      <alignment horizontal="right" vertical="top"/>
    </xf>
    <xf numFmtId="164" fontId="67" fillId="39" borderId="25" xfId="45" applyNumberFormat="1" applyFont="1" applyFill="1" applyBorder="1" applyAlignment="1">
      <alignment horizontal="right" vertical="top"/>
    </xf>
    <xf numFmtId="9" fontId="67" fillId="39" borderId="25" xfId="43" applyFont="1" applyFill="1" applyBorder="1" applyAlignment="1">
      <alignment horizontal="right" vertical="top"/>
    </xf>
    <xf numFmtId="0" fontId="119" fillId="0" borderId="0" xfId="0" applyFont="1" applyAlignment="1">
      <alignment horizontal="left" vertical="top"/>
    </xf>
    <xf numFmtId="0" fontId="121" fillId="39" borderId="25" xfId="0" applyFont="1" applyFill="1" applyBorder="1" applyAlignment="1">
      <alignment horizontal="left" vertical="top"/>
    </xf>
    <xf numFmtId="10" fontId="121" fillId="39" borderId="25" xfId="57" applyNumberFormat="1" applyFont="1" applyFill="1" applyBorder="1" applyAlignment="1">
      <alignment horizontal="right" vertical="top"/>
    </xf>
    <xf numFmtId="3" fontId="121" fillId="39" borderId="25" xfId="0" applyNumberFormat="1" applyFont="1" applyFill="1" applyBorder="1" applyAlignment="1">
      <alignment vertical="center"/>
    </xf>
    <xf numFmtId="0" fontId="121" fillId="46" borderId="25" xfId="0" applyFont="1" applyFill="1" applyBorder="1" applyAlignment="1">
      <alignment horizontal="center" vertical="top" wrapText="1"/>
    </xf>
    <xf numFmtId="10" fontId="121" fillId="46" borderId="25" xfId="57" applyNumberFormat="1" applyFont="1" applyFill="1" applyBorder="1" applyAlignment="1">
      <alignment horizontal="right" vertical="top"/>
    </xf>
    <xf numFmtId="0" fontId="121" fillId="46" borderId="25" xfId="0" applyFont="1" applyFill="1" applyBorder="1" applyAlignment="1">
      <alignment horizontal="left" vertical="top"/>
    </xf>
    <xf numFmtId="0" fontId="121" fillId="46" borderId="25" xfId="0" applyFont="1" applyFill="1" applyBorder="1" applyAlignment="1">
      <alignment horizontal="left" vertical="top" wrapText="1"/>
    </xf>
    <xf numFmtId="3" fontId="121" fillId="46" borderId="25" xfId="0" applyNumberFormat="1" applyFont="1" applyFill="1" applyBorder="1" applyAlignment="1">
      <alignment vertical="center"/>
    </xf>
    <xf numFmtId="0" fontId="121" fillId="58" borderId="25" xfId="0" applyFont="1" applyFill="1" applyBorder="1" applyAlignment="1">
      <alignment horizontal="left" vertical="top" wrapText="1"/>
    </xf>
    <xf numFmtId="10" fontId="121" fillId="58" borderId="25" xfId="57" applyNumberFormat="1" applyFont="1" applyFill="1" applyBorder="1" applyAlignment="1">
      <alignment horizontal="right" vertical="top"/>
    </xf>
    <xf numFmtId="0" fontId="121" fillId="58" borderId="25" xfId="0" applyFont="1" applyFill="1" applyBorder="1" applyAlignment="1">
      <alignment horizontal="left" vertical="top"/>
    </xf>
    <xf numFmtId="3" fontId="121" fillId="58" borderId="25" xfId="0" applyNumberFormat="1" applyFont="1" applyFill="1" applyBorder="1" applyAlignment="1">
      <alignment horizontal="right" vertical="top"/>
    </xf>
    <xf numFmtId="3" fontId="121" fillId="46" borderId="25" xfId="0" applyNumberFormat="1" applyFont="1" applyFill="1" applyBorder="1" applyAlignment="1">
      <alignment horizontal="right" vertical="top"/>
    </xf>
    <xf numFmtId="168" fontId="121" fillId="39" borderId="25" xfId="45" applyNumberFormat="1" applyFont="1" applyFill="1" applyBorder="1" applyAlignment="1">
      <alignment horizontal="right" vertical="top"/>
    </xf>
    <xf numFmtId="164" fontId="121" fillId="39" borderId="25" xfId="45" applyNumberFormat="1" applyFont="1" applyFill="1" applyBorder="1" applyAlignment="1">
      <alignment horizontal="right" vertical="top"/>
    </xf>
    <xf numFmtId="9" fontId="121" fillId="39" borderId="25" xfId="43" applyFont="1" applyFill="1" applyBorder="1" applyAlignment="1">
      <alignment horizontal="right" vertical="top"/>
    </xf>
    <xf numFmtId="0" fontId="120" fillId="33" borderId="17" xfId="0" applyFont="1" applyFill="1" applyBorder="1" applyAlignment="1">
      <alignment horizontal="left" vertical="top" wrapText="1"/>
    </xf>
    <xf numFmtId="168" fontId="122" fillId="39" borderId="25" xfId="45" applyNumberFormat="1" applyFont="1" applyFill="1" applyBorder="1" applyAlignment="1">
      <alignment horizontal="right" vertical="top"/>
    </xf>
    <xf numFmtId="164" fontId="122" fillId="39" borderId="25" xfId="45" applyNumberFormat="1" applyFont="1" applyFill="1" applyBorder="1" applyAlignment="1">
      <alignment horizontal="right" vertical="top"/>
    </xf>
    <xf numFmtId="0" fontId="68" fillId="33" borderId="17" xfId="0" applyFont="1" applyFill="1" applyBorder="1" applyAlignment="1">
      <alignment horizontal="left" vertical="top" wrapText="1"/>
    </xf>
    <xf numFmtId="10" fontId="122" fillId="39" borderId="25" xfId="57" applyNumberFormat="1" applyFont="1" applyFill="1" applyBorder="1" applyAlignment="1">
      <alignment horizontal="right" vertical="top"/>
    </xf>
    <xf numFmtId="10" fontId="122" fillId="46" borderId="25" xfId="57" applyNumberFormat="1" applyFont="1" applyFill="1" applyBorder="1" applyAlignment="1">
      <alignment horizontal="right" vertical="top"/>
    </xf>
    <xf numFmtId="10" fontId="122" fillId="58" borderId="25" xfId="57" applyNumberFormat="1" applyFont="1" applyFill="1" applyBorder="1" applyAlignment="1">
      <alignment horizontal="right" vertical="top"/>
    </xf>
    <xf numFmtId="0" fontId="122" fillId="58" borderId="25" xfId="0" applyFont="1" applyFill="1" applyBorder="1" applyAlignment="1">
      <alignment horizontal="left" vertical="top"/>
    </xf>
    <xf numFmtId="0" fontId="123" fillId="33" borderId="20" xfId="0" applyFont="1" applyFill="1" applyBorder="1" applyAlignment="1">
      <alignment horizontal="left" vertical="top" wrapText="1"/>
    </xf>
    <xf numFmtId="0" fontId="123" fillId="39" borderId="17" xfId="0" applyFont="1" applyFill="1" applyBorder="1" applyAlignment="1">
      <alignment horizontal="left" vertical="top" wrapText="1"/>
    </xf>
    <xf numFmtId="0" fontId="68" fillId="46" borderId="25" xfId="0" applyFont="1" applyFill="1" applyBorder="1" applyAlignment="1">
      <alignment horizontal="left" vertical="top" wrapText="1"/>
    </xf>
    <xf numFmtId="0" fontId="123" fillId="34" borderId="10" xfId="0" applyFont="1" applyFill="1" applyBorder="1" applyAlignment="1">
      <alignment horizontal="left" vertical="top" wrapText="1"/>
    </xf>
    <xf numFmtId="0" fontId="68" fillId="33" borderId="19" xfId="0" applyFont="1" applyFill="1" applyBorder="1" applyAlignment="1">
      <alignment horizontal="left" vertical="top" wrapText="1"/>
    </xf>
    <xf numFmtId="0" fontId="23" fillId="0" borderId="17" xfId="0" applyFont="1" applyBorder="1" applyAlignment="1">
      <alignment horizontal="left" vertical="top" wrapText="1"/>
    </xf>
    <xf numFmtId="0" fontId="21" fillId="0" borderId="17" xfId="0" applyFont="1" applyBorder="1" applyAlignment="1">
      <alignment horizontal="left" vertical="top" wrapText="1"/>
    </xf>
    <xf numFmtId="3" fontId="119" fillId="0" borderId="16" xfId="0" applyNumberFormat="1" applyFont="1" applyBorder="1" applyAlignment="1">
      <alignment horizontal="right" vertical="top"/>
    </xf>
    <xf numFmtId="0" fontId="127" fillId="35" borderId="17" xfId="0" applyFont="1" applyFill="1" applyBorder="1" applyAlignment="1">
      <alignment horizontal="left" vertical="top" wrapText="1"/>
    </xf>
    <xf numFmtId="0" fontId="68" fillId="33" borderId="25" xfId="0" applyFont="1" applyFill="1" applyBorder="1" applyAlignment="1">
      <alignment horizontal="left" vertical="top" wrapText="1"/>
    </xf>
    <xf numFmtId="0" fontId="68" fillId="46" borderId="17" xfId="0" applyFont="1" applyFill="1" applyBorder="1" applyAlignment="1">
      <alignment horizontal="left" vertical="top" wrapText="1"/>
    </xf>
    <xf numFmtId="0" fontId="127" fillId="34" borderId="17" xfId="0" applyFont="1" applyFill="1" applyBorder="1" applyAlignment="1">
      <alignment horizontal="left" vertical="top" wrapText="1"/>
    </xf>
    <xf numFmtId="0" fontId="68" fillId="0" borderId="17" xfId="0" applyFont="1" applyBorder="1" applyAlignment="1">
      <alignment horizontal="left" vertical="top" wrapText="1"/>
    </xf>
    <xf numFmtId="0" fontId="128" fillId="0" borderId="21" xfId="0" applyFont="1" applyBorder="1" applyAlignment="1">
      <alignment horizontal="left" vertical="top" wrapText="1"/>
    </xf>
    <xf numFmtId="0" fontId="119" fillId="39" borderId="17" xfId="0" applyFont="1" applyFill="1" applyBorder="1" applyAlignment="1">
      <alignment horizontal="left" vertical="top" wrapText="1"/>
    </xf>
    <xf numFmtId="0" fontId="21" fillId="0" borderId="17" xfId="0" applyFont="1" applyBorder="1" applyAlignment="1">
      <alignment horizontal="left" vertical="center" wrapText="1" indent="1"/>
    </xf>
    <xf numFmtId="0" fontId="127" fillId="36" borderId="17" xfId="0" applyFont="1" applyFill="1" applyBorder="1" applyAlignment="1">
      <alignment horizontal="left" vertical="top" wrapText="1"/>
    </xf>
    <xf numFmtId="0" fontId="123" fillId="34" borderId="17" xfId="0" applyFont="1" applyFill="1" applyBorder="1" applyAlignment="1">
      <alignment horizontal="left" vertical="top" wrapText="1"/>
    </xf>
    <xf numFmtId="0" fontId="127" fillId="39" borderId="17" xfId="0" applyFont="1" applyFill="1" applyBorder="1" applyAlignment="1">
      <alignment horizontal="left" vertical="top" wrapText="1"/>
    </xf>
    <xf numFmtId="0" fontId="66" fillId="0" borderId="37" xfId="0" applyFont="1" applyBorder="1" applyAlignment="1">
      <alignment horizontal="left" vertical="top"/>
    </xf>
    <xf numFmtId="0" fontId="66" fillId="0" borderId="39" xfId="0" applyFont="1" applyBorder="1" applyAlignment="1">
      <alignment horizontal="left" vertical="top"/>
    </xf>
    <xf numFmtId="0" fontId="66" fillId="0" borderId="42" xfId="0" applyFont="1" applyBorder="1" applyAlignment="1">
      <alignment horizontal="left" vertical="top"/>
    </xf>
    <xf numFmtId="0" fontId="66" fillId="0" borderId="0" xfId="0" applyFont="1" applyBorder="1" applyAlignment="1">
      <alignment horizontal="left" vertical="top"/>
    </xf>
    <xf numFmtId="0" fontId="127" fillId="35" borderId="26" xfId="0" applyFont="1" applyFill="1" applyBorder="1" applyAlignment="1">
      <alignment horizontal="left" vertical="top"/>
    </xf>
    <xf numFmtId="169" fontId="66" fillId="39" borderId="25" xfId="45" applyNumberFormat="1" applyFont="1" applyFill="1" applyBorder="1" applyAlignment="1">
      <alignment horizontal="right" vertical="top"/>
    </xf>
    <xf numFmtId="169" fontId="122" fillId="39" borderId="25" xfId="45" applyNumberFormat="1" applyFont="1" applyFill="1" applyBorder="1" applyAlignment="1">
      <alignment horizontal="right" vertical="top"/>
    </xf>
    <xf numFmtId="0" fontId="97" fillId="33" borderId="20" xfId="0" applyFont="1" applyFill="1" applyBorder="1" applyAlignment="1">
      <alignment horizontal="left" vertical="top" wrapText="1"/>
    </xf>
    <xf numFmtId="0" fontId="98" fillId="34" borderId="17" xfId="0" applyFont="1" applyFill="1" applyBorder="1" applyAlignment="1">
      <alignment horizontal="left" vertical="top" wrapText="1"/>
    </xf>
    <xf numFmtId="0" fontId="97" fillId="0" borderId="0" xfId="0" applyFont="1" applyBorder="1" applyAlignment="1">
      <alignment horizontal="left" vertical="top" wrapText="1"/>
    </xf>
    <xf numFmtId="0" fontId="97" fillId="33" borderId="17" xfId="0" applyFont="1" applyFill="1" applyBorder="1" applyAlignment="1">
      <alignment horizontal="left" vertical="top" wrapText="1"/>
    </xf>
    <xf numFmtId="0" fontId="123" fillId="33" borderId="25" xfId="0" applyFont="1" applyFill="1" applyBorder="1" applyAlignment="1">
      <alignment horizontal="center" vertical="center" wrapText="1"/>
    </xf>
    <xf numFmtId="0" fontId="123" fillId="33" borderId="18" xfId="0" applyFont="1" applyFill="1" applyBorder="1" applyAlignment="1">
      <alignment horizontal="center" vertical="top" wrapText="1"/>
    </xf>
    <xf numFmtId="0" fontId="123" fillId="33" borderId="16" xfId="0" applyFont="1" applyFill="1" applyBorder="1" applyAlignment="1">
      <alignment horizontal="center" vertical="top" wrapText="1"/>
    </xf>
    <xf numFmtId="0" fontId="68" fillId="33" borderId="20" xfId="0" applyFont="1" applyFill="1" applyBorder="1" applyAlignment="1">
      <alignment vertical="top" wrapText="1"/>
    </xf>
    <xf numFmtId="0" fontId="123" fillId="34" borderId="20" xfId="0" applyFont="1" applyFill="1" applyBorder="1" applyAlignment="1">
      <alignment vertical="top" wrapText="1"/>
    </xf>
    <xf numFmtId="0" fontId="68" fillId="33" borderId="18" xfId="0" applyFont="1" applyFill="1" applyBorder="1" applyAlignment="1">
      <alignment vertical="top" wrapText="1"/>
    </xf>
    <xf numFmtId="0" fontId="68" fillId="33" borderId="16" xfId="0" applyFont="1" applyFill="1" applyBorder="1" applyAlignment="1">
      <alignment vertical="top" wrapText="1"/>
    </xf>
    <xf numFmtId="0" fontId="121" fillId="0" borderId="25" xfId="0" applyFont="1" applyFill="1" applyBorder="1" applyAlignment="1">
      <alignment vertical="top"/>
    </xf>
    <xf numFmtId="10" fontId="121" fillId="53" borderId="25" xfId="57" applyNumberFormat="1" applyFont="1" applyFill="1" applyBorder="1" applyAlignment="1">
      <alignment vertical="top"/>
    </xf>
    <xf numFmtId="10" fontId="121" fillId="46" borderId="25" xfId="57" applyNumberFormat="1" applyFont="1" applyFill="1" applyBorder="1" applyAlignment="1">
      <alignment vertical="top"/>
    </xf>
    <xf numFmtId="0" fontId="122" fillId="0" borderId="25" xfId="0" applyFont="1" applyFill="1" applyBorder="1" applyAlignment="1">
      <alignment vertical="top"/>
    </xf>
    <xf numFmtId="10" fontId="122" fillId="53" borderId="25" xfId="57" applyNumberFormat="1" applyFont="1" applyFill="1" applyBorder="1" applyAlignment="1">
      <alignment vertical="top"/>
    </xf>
    <xf numFmtId="10" fontId="122" fillId="46" borderId="25" xfId="57" applyNumberFormat="1" applyFont="1" applyFill="1" applyBorder="1" applyAlignment="1">
      <alignment vertical="top"/>
    </xf>
    <xf numFmtId="3" fontId="121" fillId="0" borderId="25" xfId="0" applyNumberFormat="1" applyFont="1" applyFill="1" applyBorder="1" applyAlignment="1">
      <alignment vertical="top"/>
    </xf>
    <xf numFmtId="0" fontId="121" fillId="58" borderId="25" xfId="0" applyFont="1" applyFill="1" applyBorder="1" applyAlignment="1">
      <alignment vertical="top" wrapText="1"/>
    </xf>
    <xf numFmtId="3" fontId="121" fillId="58" borderId="25" xfId="0" applyNumberFormat="1" applyFont="1" applyFill="1" applyBorder="1" applyAlignment="1">
      <alignment vertical="top"/>
    </xf>
    <xf numFmtId="3" fontId="121" fillId="46" borderId="25" xfId="0" applyNumberFormat="1" applyFont="1" applyFill="1" applyBorder="1" applyAlignment="1">
      <alignment vertical="top"/>
    </xf>
    <xf numFmtId="0" fontId="121" fillId="58" borderId="25" xfId="0" applyFont="1" applyFill="1" applyBorder="1" applyAlignment="1">
      <alignment vertical="top"/>
    </xf>
    <xf numFmtId="10" fontId="121" fillId="58" borderId="25" xfId="57" applyNumberFormat="1" applyFont="1" applyFill="1" applyBorder="1" applyAlignment="1">
      <alignment vertical="top"/>
    </xf>
    <xf numFmtId="0" fontId="121" fillId="58" borderId="0" xfId="0" applyFont="1" applyFill="1" applyBorder="1" applyAlignment="1">
      <alignment vertical="top"/>
    </xf>
    <xf numFmtId="10" fontId="121" fillId="58" borderId="0" xfId="57" applyNumberFormat="1" applyFont="1" applyFill="1" applyBorder="1" applyAlignment="1">
      <alignment vertical="top"/>
    </xf>
    <xf numFmtId="10" fontId="121" fillId="46" borderId="0" xfId="57" applyNumberFormat="1" applyFont="1" applyFill="1" applyBorder="1" applyAlignment="1">
      <alignment vertical="top"/>
    </xf>
    <xf numFmtId="0" fontId="68" fillId="0" borderId="0" xfId="0" applyFont="1" applyFill="1" applyAlignment="1">
      <alignment vertical="top"/>
    </xf>
    <xf numFmtId="0" fontId="123" fillId="39" borderId="17" xfId="0" applyFont="1" applyFill="1" applyBorder="1" applyAlignment="1">
      <alignment vertical="top" wrapText="1"/>
    </xf>
    <xf numFmtId="0" fontId="68" fillId="33" borderId="25" xfId="0" applyFont="1" applyFill="1" applyBorder="1" applyAlignment="1">
      <alignment vertical="top" wrapText="1"/>
    </xf>
    <xf numFmtId="0" fontId="68" fillId="33" borderId="17" xfId="0" applyFont="1" applyFill="1" applyBorder="1" applyAlignment="1">
      <alignment vertical="top" wrapText="1"/>
    </xf>
    <xf numFmtId="0" fontId="123" fillId="33" borderId="18" xfId="0" applyFont="1" applyFill="1" applyBorder="1" applyAlignment="1">
      <alignment vertical="top" wrapText="1"/>
    </xf>
    <xf numFmtId="0" fontId="123" fillId="33" borderId="16" xfId="0" applyFont="1" applyFill="1" applyBorder="1" applyAlignment="1">
      <alignment vertical="top" wrapText="1"/>
    </xf>
    <xf numFmtId="0" fontId="67" fillId="0" borderId="47" xfId="0" applyFont="1" applyBorder="1" applyAlignment="1">
      <alignment vertical="top"/>
    </xf>
    <xf numFmtId="3" fontId="67" fillId="38" borderId="47" xfId="0" applyNumberFormat="1" applyFont="1" applyFill="1" applyBorder="1" applyAlignment="1">
      <alignment vertical="top"/>
    </xf>
    <xf numFmtId="3" fontId="67" fillId="0" borderId="47" xfId="0" applyNumberFormat="1" applyFont="1" applyBorder="1" applyAlignment="1">
      <alignment vertical="top"/>
    </xf>
    <xf numFmtId="0" fontId="67" fillId="37" borderId="44" xfId="0" applyFont="1" applyFill="1" applyBorder="1" applyAlignment="1">
      <alignment vertical="top"/>
    </xf>
    <xf numFmtId="9" fontId="67" fillId="37" borderId="44" xfId="43" applyFont="1" applyFill="1" applyBorder="1" applyAlignment="1">
      <alignment vertical="top"/>
    </xf>
    <xf numFmtId="0" fontId="68" fillId="34" borderId="10" xfId="0" applyFont="1" applyFill="1" applyBorder="1" applyAlignment="1">
      <alignment vertical="top" wrapText="1"/>
    </xf>
    <xf numFmtId="0" fontId="68" fillId="34" borderId="11" xfId="0" applyFont="1" applyFill="1" applyBorder="1" applyAlignment="1">
      <alignment vertical="top" wrapText="1"/>
    </xf>
    <xf numFmtId="0" fontId="68" fillId="34" borderId="14" xfId="0" applyFont="1" applyFill="1" applyBorder="1" applyAlignment="1">
      <alignment vertical="top" wrapText="1"/>
    </xf>
    <xf numFmtId="0" fontId="68" fillId="33" borderId="19" xfId="0" applyFont="1" applyFill="1" applyBorder="1" applyAlignment="1">
      <alignment vertical="top" wrapText="1"/>
    </xf>
    <xf numFmtId="0" fontId="68" fillId="0" borderId="17" xfId="0" applyFont="1" applyBorder="1" applyAlignment="1">
      <alignment vertical="top" wrapText="1"/>
    </xf>
    <xf numFmtId="3" fontId="68" fillId="0" borderId="16" xfId="0" applyNumberFormat="1" applyFont="1" applyBorder="1" applyAlignment="1">
      <alignment vertical="top"/>
    </xf>
    <xf numFmtId="3" fontId="119" fillId="0" borderId="16" xfId="0" applyNumberFormat="1" applyFont="1" applyBorder="1" applyAlignment="1">
      <alignment vertical="top"/>
    </xf>
    <xf numFmtId="3" fontId="119" fillId="39" borderId="16" xfId="0" applyNumberFormat="1" applyFont="1" applyFill="1" applyBorder="1" applyAlignment="1">
      <alignment vertical="top"/>
    </xf>
    <xf numFmtId="0" fontId="131" fillId="0" borderId="21" xfId="0" applyFont="1" applyBorder="1" applyAlignment="1">
      <alignment vertical="top" wrapText="1"/>
    </xf>
    <xf numFmtId="0" fontId="85" fillId="35" borderId="17" xfId="0" applyFont="1" applyFill="1" applyBorder="1" applyAlignment="1">
      <alignment vertical="top" wrapText="1"/>
    </xf>
    <xf numFmtId="3" fontId="68" fillId="35" borderId="16" xfId="0" applyNumberFormat="1" applyFont="1" applyFill="1" applyBorder="1" applyAlignment="1">
      <alignment vertical="top"/>
    </xf>
    <xf numFmtId="0" fontId="123" fillId="33" borderId="25" xfId="0" applyFont="1" applyFill="1" applyBorder="1" applyAlignment="1">
      <alignment vertical="center" wrapText="1"/>
    </xf>
    <xf numFmtId="0" fontId="119" fillId="33" borderId="17" xfId="0" applyFont="1" applyFill="1" applyBorder="1" applyAlignment="1">
      <alignment vertical="top" wrapText="1"/>
    </xf>
    <xf numFmtId="168" fontId="67" fillId="39" borderId="25" xfId="45" applyNumberFormat="1" applyFont="1" applyFill="1" applyBorder="1" applyAlignment="1">
      <alignment vertical="top"/>
    </xf>
    <xf numFmtId="164" fontId="67" fillId="38" borderId="25" xfId="45" applyNumberFormat="1" applyFont="1" applyFill="1" applyBorder="1" applyAlignment="1">
      <alignment vertical="top"/>
    </xf>
    <xf numFmtId="0" fontId="85" fillId="34" borderId="17" xfId="0" applyFont="1" applyFill="1" applyBorder="1" applyAlignment="1">
      <alignment vertical="top" wrapText="1"/>
    </xf>
    <xf numFmtId="0" fontId="68" fillId="33" borderId="105" xfId="0" applyFont="1" applyFill="1" applyBorder="1" applyAlignment="1">
      <alignment vertical="top" wrapText="1"/>
    </xf>
    <xf numFmtId="0" fontId="67" fillId="0" borderId="106" xfId="0" applyFont="1" applyBorder="1" applyAlignment="1">
      <alignment vertical="top"/>
    </xf>
    <xf numFmtId="0" fontId="67" fillId="0" borderId="99" xfId="0" applyFont="1" applyBorder="1" applyAlignment="1">
      <alignment vertical="top"/>
    </xf>
    <xf numFmtId="0" fontId="67" fillId="0" borderId="98" xfId="0" applyFont="1" applyBorder="1" applyAlignment="1">
      <alignment vertical="top"/>
    </xf>
    <xf numFmtId="0" fontId="68" fillId="33" borderId="104" xfId="0" applyFont="1" applyFill="1" applyBorder="1" applyAlignment="1">
      <alignment vertical="top" wrapText="1"/>
    </xf>
    <xf numFmtId="3" fontId="67" fillId="39" borderId="47" xfId="0" applyNumberFormat="1" applyFont="1" applyFill="1" applyBorder="1" applyAlignment="1">
      <alignment vertical="top"/>
    </xf>
    <xf numFmtId="3" fontId="67" fillId="39" borderId="44" xfId="0" applyNumberFormat="1" applyFont="1" applyFill="1" applyBorder="1" applyAlignment="1">
      <alignment vertical="top"/>
    </xf>
    <xf numFmtId="3" fontId="67" fillId="39" borderId="96" xfId="0" applyNumberFormat="1" applyFont="1" applyFill="1" applyBorder="1" applyAlignment="1">
      <alignment vertical="top"/>
    </xf>
    <xf numFmtId="9" fontId="67" fillId="37" borderId="96" xfId="43" applyFont="1" applyFill="1" applyBorder="1" applyAlignment="1">
      <alignment vertical="top"/>
    </xf>
    <xf numFmtId="0" fontId="68" fillId="33" borderId="57" xfId="0" applyFont="1" applyFill="1" applyBorder="1" applyAlignment="1">
      <alignment vertical="top" wrapText="1"/>
    </xf>
    <xf numFmtId="0" fontId="67" fillId="37" borderId="94" xfId="0" applyFont="1" applyFill="1" applyBorder="1" applyAlignment="1">
      <alignment vertical="top"/>
    </xf>
    <xf numFmtId="9" fontId="67" fillId="37" borderId="94" xfId="43" applyFont="1" applyFill="1" applyBorder="1" applyAlignment="1">
      <alignment vertical="top"/>
    </xf>
    <xf numFmtId="9" fontId="67" fillId="37" borderId="93" xfId="43" applyFont="1" applyFill="1" applyBorder="1" applyAlignment="1">
      <alignment vertical="top"/>
    </xf>
    <xf numFmtId="0" fontId="68" fillId="34" borderId="22" xfId="0" applyFont="1" applyFill="1" applyBorder="1" applyAlignment="1">
      <alignment vertical="top" wrapText="1"/>
    </xf>
    <xf numFmtId="0" fontId="68" fillId="34" borderId="13" xfId="0" applyFont="1" applyFill="1" applyBorder="1" applyAlignment="1">
      <alignment vertical="top" wrapText="1"/>
    </xf>
    <xf numFmtId="0" fontId="68" fillId="34" borderId="16" xfId="0" applyFont="1" applyFill="1" applyBorder="1" applyAlignment="1">
      <alignment vertical="top" wrapText="1"/>
    </xf>
    <xf numFmtId="0" fontId="127" fillId="34" borderId="17" xfId="0" applyFont="1" applyFill="1" applyBorder="1" applyAlignment="1">
      <alignment vertical="top" wrapText="1"/>
    </xf>
    <xf numFmtId="0" fontId="123" fillId="33" borderId="17" xfId="0" applyFont="1" applyFill="1" applyBorder="1" applyAlignment="1">
      <alignment vertical="top" wrapText="1"/>
    </xf>
    <xf numFmtId="0" fontId="67" fillId="0" borderId="44" xfId="0" applyFont="1" applyBorder="1" applyAlignment="1">
      <alignment vertical="top"/>
    </xf>
    <xf numFmtId="171" fontId="67" fillId="0" borderId="44" xfId="0" applyNumberFormat="1" applyFont="1" applyBorder="1" applyAlignment="1">
      <alignment vertical="top"/>
    </xf>
    <xf numFmtId="171" fontId="67" fillId="0" borderId="47" xfId="0" applyNumberFormat="1" applyFont="1" applyBorder="1" applyAlignment="1">
      <alignment vertical="top"/>
    </xf>
    <xf numFmtId="9" fontId="67" fillId="39" borderId="44" xfId="43" applyFont="1" applyFill="1" applyBorder="1" applyAlignment="1">
      <alignment vertical="top"/>
    </xf>
    <xf numFmtId="0" fontId="68" fillId="39" borderId="17" xfId="0" applyFont="1" applyFill="1" applyBorder="1" applyAlignment="1">
      <alignment vertical="top" wrapText="1"/>
    </xf>
    <xf numFmtId="9" fontId="68" fillId="39" borderId="16" xfId="0" applyNumberFormat="1" applyFont="1" applyFill="1" applyBorder="1" applyAlignment="1">
      <alignment vertical="top"/>
    </xf>
    <xf numFmtId="0" fontId="67" fillId="39" borderId="47" xfId="0" applyFont="1" applyFill="1" applyBorder="1" applyAlignment="1">
      <alignment vertical="top"/>
    </xf>
    <xf numFmtId="0" fontId="67" fillId="39" borderId="44" xfId="0" applyFont="1" applyFill="1" applyBorder="1" applyAlignment="1">
      <alignment vertical="top"/>
    </xf>
    <xf numFmtId="171" fontId="67" fillId="39" borderId="47" xfId="0" applyNumberFormat="1" applyFont="1" applyFill="1" applyBorder="1" applyAlignment="1">
      <alignment vertical="top"/>
    </xf>
    <xf numFmtId="171" fontId="67" fillId="39" borderId="44" xfId="0" applyNumberFormat="1" applyFont="1" applyFill="1" applyBorder="1" applyAlignment="1">
      <alignment vertical="top"/>
    </xf>
    <xf numFmtId="0" fontId="68" fillId="34" borderId="17" xfId="0" applyFont="1" applyFill="1" applyBorder="1" applyAlignment="1">
      <alignment vertical="top" wrapText="1"/>
    </xf>
    <xf numFmtId="3" fontId="68" fillId="33" borderId="17" xfId="0" applyNumberFormat="1" applyFont="1" applyFill="1" applyBorder="1" applyAlignment="1">
      <alignment vertical="top" wrapText="1"/>
    </xf>
    <xf numFmtId="3" fontId="68" fillId="39" borderId="17" xfId="0" applyNumberFormat="1" applyFont="1" applyFill="1" applyBorder="1" applyAlignment="1">
      <alignment vertical="top" wrapText="1"/>
    </xf>
    <xf numFmtId="165" fontId="68" fillId="33" borderId="16" xfId="0" applyNumberFormat="1" applyFont="1" applyFill="1" applyBorder="1" applyAlignment="1">
      <alignment vertical="top"/>
    </xf>
    <xf numFmtId="0" fontId="85" fillId="36" borderId="17" xfId="0" applyFont="1" applyFill="1" applyBorder="1" applyAlignment="1">
      <alignment vertical="top" wrapText="1"/>
    </xf>
    <xf numFmtId="3" fontId="119" fillId="33" borderId="16" xfId="0" applyNumberFormat="1" applyFont="1" applyFill="1" applyBorder="1" applyAlignment="1">
      <alignment vertical="top"/>
    </xf>
    <xf numFmtId="165" fontId="119" fillId="0" borderId="16" xfId="0" applyNumberFormat="1" applyFont="1" applyBorder="1" applyAlignment="1">
      <alignment vertical="top"/>
    </xf>
    <xf numFmtId="0" fontId="119" fillId="0" borderId="17" xfId="0" applyFont="1" applyBorder="1" applyAlignment="1">
      <alignment vertical="top" wrapText="1"/>
    </xf>
    <xf numFmtId="3" fontId="68" fillId="39" borderId="16" xfId="0" applyNumberFormat="1" applyFont="1" applyFill="1" applyBorder="1" applyAlignment="1">
      <alignment vertical="top"/>
    </xf>
    <xf numFmtId="0" fontId="119" fillId="39" borderId="17" xfId="0" applyFont="1" applyFill="1" applyBorder="1" applyAlignment="1">
      <alignment vertical="top" wrapText="1"/>
    </xf>
    <xf numFmtId="0" fontId="85" fillId="39" borderId="17" xfId="0" applyFont="1" applyFill="1" applyBorder="1" applyAlignment="1">
      <alignment vertical="top" wrapText="1"/>
    </xf>
    <xf numFmtId="0" fontId="68" fillId="0" borderId="0" xfId="0" applyFont="1" applyBorder="1" applyAlignment="1">
      <alignment vertical="top" wrapText="1"/>
    </xf>
    <xf numFmtId="3" fontId="68" fillId="0" borderId="0" xfId="0" applyNumberFormat="1" applyFont="1" applyBorder="1" applyAlignment="1">
      <alignment vertical="top"/>
    </xf>
    <xf numFmtId="0" fontId="67" fillId="0" borderId="36" xfId="0" applyFont="1" applyBorder="1" applyAlignment="1">
      <alignment vertical="top"/>
    </xf>
    <xf numFmtId="0" fontId="67" fillId="0" borderId="37" xfId="0" applyFont="1" applyBorder="1" applyAlignment="1">
      <alignment vertical="top"/>
    </xf>
    <xf numFmtId="0" fontId="67" fillId="0" borderId="25" xfId="0" applyFont="1" applyBorder="1" applyAlignment="1">
      <alignment vertical="top"/>
    </xf>
    <xf numFmtId="0" fontId="67" fillId="0" borderId="39" xfId="0" applyFont="1" applyBorder="1" applyAlignment="1">
      <alignment vertical="top"/>
    </xf>
    <xf numFmtId="0" fontId="67" fillId="0" borderId="41" xfId="0" applyFont="1" applyBorder="1" applyAlignment="1">
      <alignment vertical="top"/>
    </xf>
    <xf numFmtId="0" fontId="67" fillId="0" borderId="42" xfId="0" applyFont="1" applyBorder="1" applyAlignment="1">
      <alignment vertical="top"/>
    </xf>
    <xf numFmtId="0" fontId="67" fillId="0" borderId="0" xfId="0" applyFont="1" applyBorder="1" applyAlignment="1">
      <alignment vertical="top" wrapText="1"/>
    </xf>
    <xf numFmtId="0" fontId="85" fillId="35" borderId="26" xfId="0" applyFont="1" applyFill="1" applyBorder="1" applyAlignment="1">
      <alignment vertical="top"/>
    </xf>
    <xf numFmtId="0" fontId="67" fillId="0" borderId="0" xfId="0" applyFont="1" applyAlignment="1">
      <alignment vertical="top"/>
    </xf>
    <xf numFmtId="0" fontId="67" fillId="0" borderId="46" xfId="0" applyFont="1" applyBorder="1" applyAlignment="1">
      <alignment vertical="top"/>
    </xf>
    <xf numFmtId="0" fontId="67" fillId="39" borderId="66" xfId="0" applyFont="1" applyFill="1" applyBorder="1" applyAlignment="1">
      <alignment vertical="top"/>
    </xf>
    <xf numFmtId="0" fontId="67" fillId="46" borderId="66" xfId="0" applyFont="1" applyFill="1" applyBorder="1" applyAlignment="1">
      <alignment vertical="top"/>
    </xf>
    <xf numFmtId="166" fontId="67" fillId="39" borderId="25" xfId="0" applyNumberFormat="1" applyFont="1" applyFill="1" applyBorder="1" applyAlignment="1">
      <alignment vertical="top"/>
    </xf>
    <xf numFmtId="166" fontId="67" fillId="46" borderId="25" xfId="0" applyNumberFormat="1" applyFont="1" applyFill="1" applyBorder="1" applyAlignment="1">
      <alignment vertical="top"/>
    </xf>
    <xf numFmtId="166" fontId="67" fillId="49" borderId="25" xfId="0" applyNumberFormat="1" applyFont="1" applyFill="1" applyBorder="1" applyAlignment="1">
      <alignment vertical="top"/>
    </xf>
    <xf numFmtId="166" fontId="68" fillId="50" borderId="25" xfId="0" applyNumberFormat="1" applyFont="1" applyFill="1" applyBorder="1" applyAlignment="1">
      <alignment vertical="top"/>
    </xf>
    <xf numFmtId="166" fontId="68" fillId="46" borderId="25" xfId="0" applyNumberFormat="1" applyFont="1" applyFill="1" applyBorder="1" applyAlignment="1">
      <alignment vertical="top"/>
    </xf>
    <xf numFmtId="166" fontId="67" fillId="43" borderId="25" xfId="57" applyNumberFormat="1" applyFont="1" applyFill="1" applyBorder="1" applyAlignment="1">
      <alignment vertical="top"/>
    </xf>
    <xf numFmtId="166" fontId="67" fillId="0" borderId="25" xfId="0" applyNumberFormat="1" applyFont="1" applyFill="1" applyBorder="1" applyAlignment="1">
      <alignment vertical="top"/>
    </xf>
    <xf numFmtId="0" fontId="123" fillId="33" borderId="25" xfId="0" applyFont="1" applyFill="1" applyBorder="1" applyAlignment="1">
      <alignment horizontal="center" vertical="top" wrapText="1"/>
    </xf>
    <xf numFmtId="0" fontId="68" fillId="33" borderId="18" xfId="0" applyFont="1" applyFill="1" applyBorder="1" applyAlignment="1">
      <alignment horizontal="center" vertical="center" wrapText="1"/>
    </xf>
    <xf numFmtId="0" fontId="68" fillId="33" borderId="16" xfId="0" applyFont="1" applyFill="1" applyBorder="1" applyAlignment="1">
      <alignment horizontal="center" vertical="center" wrapText="1"/>
    </xf>
    <xf numFmtId="168" fontId="127" fillId="39" borderId="0" xfId="45" applyNumberFormat="1" applyFont="1" applyFill="1" applyAlignment="1">
      <alignment vertical="top"/>
    </xf>
    <xf numFmtId="0" fontId="66" fillId="39" borderId="47" xfId="0" applyFont="1" applyFill="1" applyBorder="1" applyAlignment="1">
      <alignment horizontal="center" vertical="top"/>
    </xf>
    <xf numFmtId="0" fontId="66" fillId="39" borderId="44" xfId="0" applyFont="1" applyFill="1" applyBorder="1" applyAlignment="1">
      <alignment horizontal="center" vertical="top"/>
    </xf>
    <xf numFmtId="0" fontId="121" fillId="39" borderId="47" xfId="0" applyFont="1" applyFill="1" applyBorder="1" applyAlignment="1">
      <alignment horizontal="center" vertical="top"/>
    </xf>
    <xf numFmtId="0" fontId="121" fillId="39" borderId="44" xfId="0" applyFont="1" applyFill="1" applyBorder="1" applyAlignment="1">
      <alignment horizontal="center" vertical="top"/>
    </xf>
    <xf numFmtId="1" fontId="119" fillId="39" borderId="16" xfId="0" applyNumberFormat="1" applyFont="1" applyFill="1" applyBorder="1" applyAlignment="1">
      <alignment horizontal="center" vertical="top"/>
    </xf>
    <xf numFmtId="9" fontId="119" fillId="39" borderId="16" xfId="43" applyFont="1" applyFill="1" applyBorder="1" applyAlignment="1">
      <alignment horizontal="center" vertical="top"/>
    </xf>
    <xf numFmtId="0" fontId="123" fillId="34" borderId="17" xfId="0" applyFont="1" applyFill="1" applyBorder="1" applyAlignment="1">
      <alignment vertical="top" wrapText="1"/>
    </xf>
    <xf numFmtId="3" fontId="123" fillId="34" borderId="16" xfId="0" applyNumberFormat="1" applyFont="1" applyFill="1" applyBorder="1" applyAlignment="1">
      <alignment vertical="top"/>
    </xf>
    <xf numFmtId="0" fontId="123" fillId="0" borderId="0" xfId="0" applyFont="1" applyAlignment="1">
      <alignment vertical="top"/>
    </xf>
    <xf numFmtId="0" fontId="128" fillId="0" borderId="21" xfId="0" applyFont="1" applyBorder="1" applyAlignment="1">
      <alignment vertical="top" wrapText="1"/>
    </xf>
    <xf numFmtId="3" fontId="120" fillId="0" borderId="16" xfId="0" applyNumberFormat="1" applyFont="1" applyBorder="1" applyAlignment="1">
      <alignment vertical="top"/>
    </xf>
    <xf numFmtId="168" fontId="85" fillId="0" borderId="0" xfId="45" applyNumberFormat="1" applyFont="1" applyAlignment="1">
      <alignment vertical="top"/>
    </xf>
    <xf numFmtId="3" fontId="67" fillId="0" borderId="44" xfId="0" applyNumberFormat="1" applyFont="1" applyBorder="1" applyAlignment="1">
      <alignment vertical="top"/>
    </xf>
    <xf numFmtId="0" fontId="68" fillId="39" borderId="22" xfId="0" applyFont="1" applyFill="1" applyBorder="1" applyAlignment="1">
      <alignment vertical="top" wrapText="1"/>
    </xf>
    <xf numFmtId="0" fontId="21" fillId="55" borderId="17" xfId="0" applyFont="1" applyFill="1" applyBorder="1" applyAlignment="1">
      <alignment vertical="top" wrapText="1"/>
    </xf>
    <xf numFmtId="165" fontId="133" fillId="37" borderId="44" xfId="43" applyNumberFormat="1" applyFont="1" applyFill="1" applyBorder="1" applyAlignment="1">
      <alignment vertical="top"/>
    </xf>
    <xf numFmtId="0" fontId="21" fillId="55" borderId="17" xfId="0" applyFont="1" applyFill="1" applyBorder="1" applyAlignment="1">
      <alignment horizontal="left" vertical="top" wrapText="1"/>
    </xf>
    <xf numFmtId="168" fontId="133" fillId="37" borderId="44" xfId="45" applyNumberFormat="1" applyFont="1" applyFill="1" applyBorder="1" applyAlignment="1">
      <alignment vertical="top"/>
    </xf>
    <xf numFmtId="9" fontId="133" fillId="37" borderId="44" xfId="43" applyFont="1" applyFill="1" applyBorder="1" applyAlignment="1">
      <alignment vertical="top"/>
    </xf>
    <xf numFmtId="0" fontId="21" fillId="39" borderId="17" xfId="0" applyFont="1" applyFill="1" applyBorder="1" applyAlignment="1">
      <alignment horizontal="left" vertical="top" wrapText="1"/>
    </xf>
    <xf numFmtId="168" fontId="133" fillId="39" borderId="44" xfId="45" applyNumberFormat="1" applyFont="1" applyFill="1" applyBorder="1" applyAlignment="1">
      <alignment vertical="top"/>
    </xf>
    <xf numFmtId="0" fontId="21" fillId="55" borderId="22" xfId="0" applyFont="1" applyFill="1" applyBorder="1" applyAlignment="1">
      <alignment horizontal="left" vertical="top" wrapText="1"/>
    </xf>
    <xf numFmtId="0" fontId="134" fillId="0" borderId="77" xfId="0" applyFont="1" applyFill="1" applyBorder="1" applyAlignment="1">
      <alignment horizontal="left" vertical="center"/>
    </xf>
    <xf numFmtId="10" fontId="122" fillId="53" borderId="25" xfId="57" applyNumberFormat="1" applyFont="1" applyFill="1" applyBorder="1" applyAlignment="1">
      <alignment vertical="center"/>
    </xf>
    <xf numFmtId="10" fontId="122" fillId="46" borderId="25" xfId="57" applyNumberFormat="1" applyFont="1" applyFill="1" applyBorder="1" applyAlignment="1">
      <alignment vertical="center"/>
    </xf>
    <xf numFmtId="10" fontId="122" fillId="53" borderId="25" xfId="57" applyNumberFormat="1" applyFont="1" applyFill="1" applyBorder="1" applyAlignment="1">
      <alignment horizontal="right" vertical="center"/>
    </xf>
    <xf numFmtId="10" fontId="122" fillId="46" borderId="25" xfId="57" applyNumberFormat="1" applyFont="1" applyFill="1" applyBorder="1" applyAlignment="1">
      <alignment horizontal="right" vertical="center"/>
    </xf>
    <xf numFmtId="0" fontId="128" fillId="33" borderId="17" xfId="0" applyFont="1" applyFill="1" applyBorder="1" applyAlignment="1">
      <alignment vertical="top" wrapText="1"/>
    </xf>
    <xf numFmtId="3" fontId="49" fillId="0" borderId="16" xfId="0" applyNumberFormat="1" applyFont="1" applyBorder="1" applyAlignment="1">
      <alignment horizontal="center" vertical="center"/>
    </xf>
    <xf numFmtId="0" fontId="46" fillId="33" borderId="17" xfId="0" applyFont="1" applyFill="1" applyBorder="1" applyAlignment="1">
      <alignment vertical="top" wrapText="1"/>
    </xf>
    <xf numFmtId="0" fontId="46" fillId="39" borderId="17" xfId="0" applyFont="1" applyFill="1" applyBorder="1" applyAlignment="1">
      <alignment vertical="top" wrapText="1"/>
    </xf>
    <xf numFmtId="0" fontId="25" fillId="33" borderId="17" xfId="0" applyFont="1" applyFill="1" applyBorder="1" applyAlignment="1">
      <alignment vertical="top" wrapText="1"/>
    </xf>
    <xf numFmtId="0" fontId="25" fillId="39" borderId="17" xfId="0" applyFont="1" applyFill="1" applyBorder="1" applyAlignment="1">
      <alignment vertical="top" wrapText="1"/>
    </xf>
    <xf numFmtId="0" fontId="25" fillId="44" borderId="17" xfId="0" applyFont="1" applyFill="1" applyBorder="1" applyAlignment="1">
      <alignment vertical="top" wrapText="1"/>
    </xf>
    <xf numFmtId="165" fontId="25" fillId="33" borderId="16" xfId="43" applyNumberFormat="1" applyFont="1" applyFill="1" applyBorder="1" applyAlignment="1">
      <alignment horizontal="center" vertical="top"/>
    </xf>
    <xf numFmtId="1" fontId="25" fillId="39" borderId="16" xfId="0" applyNumberFormat="1" applyFont="1" applyFill="1" applyBorder="1" applyAlignment="1">
      <alignment horizontal="center" vertical="top"/>
    </xf>
    <xf numFmtId="1" fontId="25" fillId="33" borderId="16" xfId="43" applyNumberFormat="1" applyFont="1" applyFill="1" applyBorder="1" applyAlignment="1">
      <alignment horizontal="center" vertical="top"/>
    </xf>
    <xf numFmtId="165" fontId="25" fillId="44" borderId="16" xfId="43" applyNumberFormat="1" applyFont="1" applyFill="1" applyBorder="1" applyAlignment="1">
      <alignment horizontal="center" vertical="top"/>
    </xf>
    <xf numFmtId="170" fontId="25" fillId="44" borderId="16" xfId="43" applyNumberFormat="1" applyFont="1" applyFill="1" applyBorder="1" applyAlignment="1">
      <alignment horizontal="center" vertical="top"/>
    </xf>
    <xf numFmtId="169" fontId="26" fillId="39" borderId="16" xfId="45" applyNumberFormat="1" applyFont="1" applyFill="1" applyBorder="1" applyAlignment="1">
      <alignment horizontal="left" vertical="top" wrapText="1"/>
    </xf>
    <xf numFmtId="168" fontId="26" fillId="39" borderId="16" xfId="45" applyNumberFormat="1" applyFont="1" applyFill="1" applyBorder="1" applyAlignment="1">
      <alignment horizontal="left" vertical="top" wrapText="1"/>
    </xf>
    <xf numFmtId="168" fontId="25" fillId="39" borderId="16" xfId="45" applyNumberFormat="1" applyFont="1" applyFill="1" applyBorder="1" applyAlignment="1">
      <alignment horizontal="center" vertical="top"/>
    </xf>
    <xf numFmtId="168" fontId="25" fillId="33" borderId="16" xfId="45" applyNumberFormat="1" applyFont="1" applyFill="1" applyBorder="1" applyAlignment="1">
      <alignment horizontal="center" vertical="top"/>
    </xf>
    <xf numFmtId="0" fontId="119" fillId="46" borderId="17" xfId="0" applyFont="1" applyFill="1" applyBorder="1" applyAlignment="1">
      <alignment vertical="top" wrapText="1"/>
    </xf>
    <xf numFmtId="164" fontId="122" fillId="46" borderId="25" xfId="45" applyNumberFormat="1" applyFont="1" applyFill="1" applyBorder="1" applyAlignment="1">
      <alignment vertical="top"/>
    </xf>
    <xf numFmtId="0" fontId="120" fillId="33" borderId="18" xfId="0" applyFont="1" applyFill="1" applyBorder="1" applyAlignment="1">
      <alignment horizontal="center" vertical="top" wrapText="1"/>
    </xf>
    <xf numFmtId="0" fontId="120" fillId="33" borderId="16" xfId="0" applyFont="1" applyFill="1" applyBorder="1" applyAlignment="1">
      <alignment horizontal="center" vertical="top" wrapText="1"/>
    </xf>
    <xf numFmtId="3" fontId="67" fillId="46" borderId="47" xfId="0" applyNumberFormat="1" applyFont="1" applyFill="1" applyBorder="1" applyAlignment="1">
      <alignment vertical="top"/>
    </xf>
    <xf numFmtId="169" fontId="122" fillId="46" borderId="25" xfId="45" applyNumberFormat="1" applyFont="1" applyFill="1" applyBorder="1" applyAlignment="1">
      <alignment vertical="top"/>
    </xf>
    <xf numFmtId="0" fontId="121" fillId="33" borderId="17" xfId="0" applyFont="1" applyFill="1" applyBorder="1" applyAlignment="1">
      <alignment vertical="top" wrapText="1"/>
    </xf>
    <xf numFmtId="168" fontId="66" fillId="39" borderId="0" xfId="45" applyNumberFormat="1" applyFont="1" applyFill="1" applyBorder="1" applyAlignment="1">
      <alignment vertical="top"/>
    </xf>
    <xf numFmtId="3" fontId="122" fillId="39" borderId="47" xfId="0" applyNumberFormat="1" applyFont="1" applyFill="1" applyBorder="1" applyAlignment="1">
      <alignment vertical="top"/>
    </xf>
    <xf numFmtId="3" fontId="122" fillId="39" borderId="44" xfId="0" applyNumberFormat="1" applyFont="1" applyFill="1" applyBorder="1" applyAlignment="1">
      <alignment vertical="top"/>
    </xf>
    <xf numFmtId="3" fontId="123" fillId="39" borderId="16" xfId="0" applyNumberFormat="1" applyFont="1" applyFill="1" applyBorder="1" applyAlignment="1">
      <alignment vertical="top"/>
    </xf>
    <xf numFmtId="164" fontId="0" fillId="39" borderId="0" xfId="0" applyNumberFormat="1" applyFill="1" applyAlignment="1">
      <alignment vertical="top"/>
    </xf>
    <xf numFmtId="164" fontId="0" fillId="43" borderId="0" xfId="0" applyNumberFormat="1" applyFill="1" applyAlignment="1">
      <alignment vertical="top"/>
    </xf>
    <xf numFmtId="172" fontId="0" fillId="43" borderId="0" xfId="0" applyNumberFormat="1" applyFill="1" applyAlignment="1">
      <alignment vertical="top"/>
    </xf>
    <xf numFmtId="169" fontId="0" fillId="0" borderId="0" xfId="45" applyNumberFormat="1" applyFont="1" applyAlignment="1">
      <alignment vertical="top"/>
    </xf>
    <xf numFmtId="3" fontId="24" fillId="52" borderId="44" xfId="0" applyNumberFormat="1" applyFont="1" applyFill="1" applyBorder="1" applyAlignment="1">
      <alignment vertical="top"/>
    </xf>
    <xf numFmtId="3" fontId="86" fillId="52" borderId="44" xfId="0" applyNumberFormat="1" applyFont="1" applyFill="1" applyBorder="1" applyAlignment="1">
      <alignment vertical="center"/>
    </xf>
    <xf numFmtId="168" fontId="24" fillId="37" borderId="0" xfId="45" applyNumberFormat="1" applyFont="1" applyFill="1" applyBorder="1" applyAlignment="1">
      <alignment horizontal="left" vertical="center"/>
    </xf>
    <xf numFmtId="0" fontId="115" fillId="0" borderId="77" xfId="0" applyFont="1" applyFill="1" applyBorder="1" applyAlignment="1">
      <alignment horizontal="left" vertical="center"/>
    </xf>
    <xf numFmtId="0" fontId="93" fillId="0" borderId="60" xfId="0" applyFont="1" applyBorder="1" applyAlignment="1">
      <alignment vertical="top"/>
    </xf>
    <xf numFmtId="0" fontId="94" fillId="55" borderId="17" xfId="0" applyFont="1" applyFill="1" applyBorder="1" applyAlignment="1">
      <alignment vertical="top" wrapText="1"/>
    </xf>
    <xf numFmtId="0" fontId="94" fillId="55" borderId="17" xfId="0" applyFont="1" applyFill="1" applyBorder="1" applyAlignment="1">
      <alignment horizontal="left" vertical="top" wrapText="1"/>
    </xf>
    <xf numFmtId="0" fontId="94" fillId="55" borderId="22" xfId="0" applyFont="1" applyFill="1" applyBorder="1" applyAlignment="1">
      <alignment horizontal="left" vertical="top" wrapText="1"/>
    </xf>
    <xf numFmtId="0" fontId="97" fillId="34" borderId="17" xfId="0" applyFont="1" applyFill="1" applyBorder="1" applyAlignment="1">
      <alignment vertical="top" wrapText="1"/>
    </xf>
    <xf numFmtId="0" fontId="97" fillId="34" borderId="10" xfId="0" applyFont="1" applyFill="1" applyBorder="1" applyAlignment="1">
      <alignment vertical="top" wrapText="1"/>
    </xf>
    <xf numFmtId="0" fontId="93" fillId="33" borderId="19" xfId="0" applyFont="1" applyFill="1" applyBorder="1" applyAlignment="1">
      <alignment horizontal="center" vertical="top" wrapText="1"/>
    </xf>
    <xf numFmtId="0" fontId="93" fillId="33" borderId="17" xfId="0" applyFont="1" applyFill="1" applyBorder="1" applyAlignment="1">
      <alignment horizontal="center" vertical="top" wrapText="1"/>
    </xf>
    <xf numFmtId="0" fontId="98" fillId="35" borderId="17" xfId="0" applyFont="1" applyFill="1" applyBorder="1" applyAlignment="1">
      <alignment vertical="top" wrapText="1"/>
    </xf>
    <xf numFmtId="168" fontId="82" fillId="37" borderId="44" xfId="45" applyNumberFormat="1" applyFont="1" applyFill="1" applyBorder="1" applyAlignment="1">
      <alignment horizontal="left" vertical="top"/>
    </xf>
    <xf numFmtId="0" fontId="83" fillId="0" borderId="17" xfId="0" applyFont="1" applyBorder="1" applyAlignment="1">
      <alignment horizontal="left" vertical="top" wrapText="1"/>
    </xf>
    <xf numFmtId="0" fontId="98" fillId="36" borderId="17" xfId="0" applyFont="1" applyFill="1" applyBorder="1" applyAlignment="1">
      <alignment vertical="top" wrapText="1"/>
    </xf>
    <xf numFmtId="0" fontId="99" fillId="33" borderId="17" xfId="0" applyFont="1" applyFill="1" applyBorder="1" applyAlignment="1">
      <alignment vertical="top" wrapText="1"/>
    </xf>
    <xf numFmtId="0" fontId="83" fillId="0" borderId="37" xfId="0" applyFont="1" applyBorder="1" applyAlignment="1">
      <alignment vertical="top"/>
    </xf>
    <xf numFmtId="0" fontId="83" fillId="0" borderId="39" xfId="0" applyFont="1" applyBorder="1" applyAlignment="1">
      <alignment vertical="top"/>
    </xf>
    <xf numFmtId="0" fontId="83" fillId="0" borderId="42" xfId="0" applyFont="1" applyBorder="1" applyAlignment="1">
      <alignment vertical="top"/>
    </xf>
    <xf numFmtId="0" fontId="83" fillId="0" borderId="0" xfId="0" applyFont="1" applyBorder="1" applyAlignment="1">
      <alignment vertical="top"/>
    </xf>
    <xf numFmtId="0" fontId="98" fillId="35" borderId="26" xfId="0" applyFont="1" applyFill="1" applyBorder="1" applyAlignment="1">
      <alignment vertical="top"/>
    </xf>
    <xf numFmtId="0" fontId="93" fillId="0" borderId="0" xfId="0" applyFont="1" applyAlignment="1">
      <alignment vertical="top"/>
    </xf>
    <xf numFmtId="168" fontId="96" fillId="37" borderId="44" xfId="45" applyNumberFormat="1" applyFont="1" applyFill="1" applyBorder="1" applyAlignment="1">
      <alignment horizontal="left" vertical="top"/>
    </xf>
    <xf numFmtId="168" fontId="133" fillId="37" borderId="44" xfId="45" applyNumberFormat="1" applyFont="1" applyFill="1" applyBorder="1" applyAlignment="1">
      <alignment horizontal="left" vertical="top"/>
    </xf>
    <xf numFmtId="9" fontId="133" fillId="37" borderId="44" xfId="43" applyFont="1" applyFill="1" applyBorder="1" applyAlignment="1">
      <alignment horizontal="right" vertical="top"/>
    </xf>
    <xf numFmtId="166" fontId="23" fillId="35" borderId="16" xfId="0" applyNumberFormat="1" applyFont="1" applyFill="1" applyBorder="1" applyAlignment="1">
      <alignment horizontal="center" vertical="top"/>
    </xf>
    <xf numFmtId="168" fontId="64" fillId="37" borderId="44" xfId="45" applyNumberFormat="1" applyFont="1" applyFill="1" applyBorder="1" applyAlignment="1">
      <alignment horizontal="center"/>
    </xf>
    <xf numFmtId="3" fontId="23" fillId="35" borderId="13" xfId="0" applyNumberFormat="1" applyFont="1" applyFill="1" applyBorder="1" applyAlignment="1">
      <alignment horizontal="center" vertical="top"/>
    </xf>
    <xf numFmtId="168" fontId="64" fillId="37" borderId="44" xfId="45" applyNumberFormat="1" applyFont="1" applyFill="1" applyBorder="1" applyAlignment="1">
      <alignment horizontal="left" vertical="center"/>
    </xf>
    <xf numFmtId="3" fontId="87" fillId="52" borderId="44" xfId="0" applyNumberFormat="1" applyFont="1" applyFill="1" applyBorder="1" applyAlignment="1">
      <alignment vertical="center"/>
    </xf>
    <xf numFmtId="0" fontId="93" fillId="0" borderId="59" xfId="0" applyFont="1" applyBorder="1"/>
    <xf numFmtId="166" fontId="93" fillId="0" borderId="73" xfId="0" applyNumberFormat="1" applyFont="1" applyBorder="1"/>
    <xf numFmtId="166" fontId="93" fillId="0" borderId="74" xfId="0" applyNumberFormat="1" applyFont="1" applyBorder="1"/>
    <xf numFmtId="0" fontId="93" fillId="0" borderId="52" xfId="0" applyFont="1" applyBorder="1"/>
    <xf numFmtId="166" fontId="93" fillId="0" borderId="0" xfId="0" applyNumberFormat="1" applyFont="1" applyBorder="1"/>
    <xf numFmtId="166" fontId="93" fillId="0" borderId="54" xfId="0" applyNumberFormat="1" applyFont="1" applyBorder="1"/>
    <xf numFmtId="0" fontId="36" fillId="0" borderId="110" xfId="42" applyFont="1" applyBorder="1" applyAlignment="1">
      <alignment vertical="center"/>
    </xf>
    <xf numFmtId="0" fontId="33" fillId="0" borderId="52" xfId="42" applyFont="1" applyBorder="1" applyAlignment="1">
      <alignment vertical="center"/>
    </xf>
    <xf numFmtId="0" fontId="33" fillId="0" borderId="0" xfId="42" applyFont="1" applyBorder="1" applyAlignment="1">
      <alignment vertical="center"/>
    </xf>
    <xf numFmtId="0" fontId="33" fillId="0" borderId="54" xfId="42" applyFont="1" applyBorder="1" applyAlignment="1">
      <alignment vertical="center"/>
    </xf>
    <xf numFmtId="0" fontId="33" fillId="0" borderId="112" xfId="42" applyFont="1" applyBorder="1" applyAlignment="1">
      <alignment vertical="center"/>
    </xf>
    <xf numFmtId="0" fontId="33" fillId="0" borderId="110" xfId="42" applyFont="1" applyBorder="1" applyAlignment="1">
      <alignment vertical="center"/>
    </xf>
    <xf numFmtId="0" fontId="58" fillId="0" borderId="52" xfId="0" applyFont="1" applyBorder="1"/>
    <xf numFmtId="166" fontId="58" fillId="0" borderId="0" xfId="0" applyNumberFormat="1" applyFont="1" applyBorder="1"/>
    <xf numFmtId="166" fontId="58" fillId="0" borderId="54" xfId="0" applyNumberFormat="1" applyFont="1" applyBorder="1"/>
    <xf numFmtId="0" fontId="58" fillId="0" borderId="63" xfId="0" applyFont="1" applyBorder="1"/>
    <xf numFmtId="166" fontId="58" fillId="0" borderId="53" xfId="0" applyNumberFormat="1" applyFont="1" applyBorder="1"/>
    <xf numFmtId="166" fontId="58" fillId="0" borderId="64" xfId="0" applyNumberFormat="1" applyFont="1" applyBorder="1"/>
    <xf numFmtId="0" fontId="94" fillId="33" borderId="17" xfId="0" applyFont="1" applyFill="1" applyBorder="1" applyAlignment="1">
      <alignment vertical="center" wrapText="1"/>
    </xf>
    <xf numFmtId="3" fontId="94" fillId="0" borderId="16" xfId="0" applyNumberFormat="1" applyFont="1" applyFill="1" applyBorder="1" applyAlignment="1">
      <alignment horizontal="center"/>
    </xf>
    <xf numFmtId="0" fontId="94" fillId="33" borderId="17" xfId="0" applyFont="1" applyFill="1" applyBorder="1" applyAlignment="1">
      <alignment horizontal="left" vertical="center" wrapText="1"/>
    </xf>
    <xf numFmtId="165" fontId="94" fillId="0" borderId="16" xfId="0" applyNumberFormat="1" applyFont="1" applyFill="1" applyBorder="1" applyAlignment="1">
      <alignment horizontal="center" vertical="center"/>
    </xf>
    <xf numFmtId="9" fontId="94" fillId="0" borderId="16" xfId="0" applyNumberFormat="1" applyFont="1" applyFill="1" applyBorder="1" applyAlignment="1">
      <alignment horizontal="center" vertical="center"/>
    </xf>
    <xf numFmtId="1" fontId="94" fillId="0" borderId="16" xfId="0" applyNumberFormat="1" applyFont="1" applyFill="1" applyBorder="1" applyAlignment="1">
      <alignment horizontal="center" vertical="center"/>
    </xf>
    <xf numFmtId="0" fontId="94" fillId="33" borderId="25" xfId="0" applyFont="1" applyFill="1" applyBorder="1" applyAlignment="1">
      <alignment horizontal="center" vertical="center" wrapText="1"/>
    </xf>
    <xf numFmtId="9" fontId="94" fillId="0" borderId="16" xfId="0" applyNumberFormat="1" applyFont="1" applyFill="1" applyBorder="1" applyAlignment="1">
      <alignment horizontal="right" vertical="center"/>
    </xf>
    <xf numFmtId="3" fontId="94" fillId="0" borderId="16" xfId="0" applyNumberFormat="1" applyFont="1" applyFill="1" applyBorder="1" applyAlignment="1"/>
    <xf numFmtId="168" fontId="97" fillId="34" borderId="0" xfId="45" applyNumberFormat="1" applyFont="1" applyFill="1" applyBorder="1" applyAlignment="1">
      <alignment vertical="center" wrapText="1"/>
    </xf>
    <xf numFmtId="168" fontId="97" fillId="33" borderId="0" xfId="45" applyNumberFormat="1" applyFont="1" applyFill="1" applyBorder="1" applyAlignment="1">
      <alignment horizontal="center" vertical="center" wrapText="1"/>
    </xf>
    <xf numFmtId="164" fontId="93" fillId="0" borderId="0" xfId="0" applyNumberFormat="1" applyFont="1"/>
    <xf numFmtId="0" fontId="99" fillId="33" borderId="17" xfId="0" applyFont="1" applyFill="1" applyBorder="1" applyAlignment="1">
      <alignment horizontal="left" vertical="center" wrapText="1"/>
    </xf>
    <xf numFmtId="170" fontId="99" fillId="0" borderId="16" xfId="0" applyNumberFormat="1" applyFont="1" applyFill="1" applyBorder="1" applyAlignment="1">
      <alignment horizontal="right" vertical="center"/>
    </xf>
    <xf numFmtId="168" fontId="94" fillId="0" borderId="16" xfId="45" applyNumberFormat="1" applyFont="1" applyFill="1" applyBorder="1" applyAlignment="1">
      <alignment horizontal="center" vertical="center"/>
    </xf>
    <xf numFmtId="168" fontId="99" fillId="0" borderId="16" xfId="45" applyNumberFormat="1" applyFont="1" applyFill="1" applyBorder="1" applyAlignment="1">
      <alignment horizontal="center" vertical="center"/>
    </xf>
    <xf numFmtId="164" fontId="97" fillId="33" borderId="0" xfId="45" applyNumberFormat="1" applyFont="1" applyFill="1" applyBorder="1" applyAlignment="1">
      <alignment horizontal="center" vertical="center" wrapText="1"/>
    </xf>
    <xf numFmtId="172" fontId="97" fillId="33" borderId="0" xfId="0" applyNumberFormat="1" applyFont="1" applyFill="1" applyBorder="1" applyAlignment="1">
      <alignment horizontal="center" vertical="center" wrapText="1"/>
    </xf>
    <xf numFmtId="168" fontId="94" fillId="0" borderId="0" xfId="45" applyNumberFormat="1" applyFont="1" applyFill="1" applyBorder="1" applyAlignment="1">
      <alignment horizontal="center" vertical="center"/>
    </xf>
    <xf numFmtId="0" fontId="94" fillId="0" borderId="0" xfId="0" applyFont="1"/>
    <xf numFmtId="0" fontId="94" fillId="33" borderId="0" xfId="0" applyFont="1" applyFill="1" applyBorder="1" applyAlignment="1">
      <alignment horizontal="right" vertical="center" wrapText="1"/>
    </xf>
    <xf numFmtId="9" fontId="94" fillId="0" borderId="0" xfId="0" applyNumberFormat="1" applyFont="1" applyFill="1" applyBorder="1" applyAlignment="1">
      <alignment horizontal="right" vertical="center"/>
    </xf>
    <xf numFmtId="0" fontId="94" fillId="33" borderId="17" xfId="0" applyFont="1" applyFill="1" applyBorder="1" applyAlignment="1">
      <alignment horizontal="center" vertical="center" wrapText="1"/>
    </xf>
    <xf numFmtId="172" fontId="93" fillId="33" borderId="0" xfId="0" applyNumberFormat="1" applyFont="1" applyFill="1" applyBorder="1" applyAlignment="1">
      <alignment horizontal="center" vertical="center"/>
    </xf>
    <xf numFmtId="3" fontId="82" fillId="0" borderId="44" xfId="0" applyNumberFormat="1" applyFont="1" applyBorder="1" applyAlignment="1">
      <alignment horizontal="center" vertical="center"/>
    </xf>
    <xf numFmtId="3" fontId="97" fillId="44" borderId="0" xfId="0" applyNumberFormat="1" applyFont="1" applyFill="1" applyBorder="1" applyAlignment="1">
      <alignment horizontal="center" vertical="center"/>
    </xf>
    <xf numFmtId="0" fontId="93" fillId="0" borderId="21" xfId="0" applyFont="1" applyBorder="1" applyAlignment="1">
      <alignment horizontal="left" vertical="center" wrapText="1" indent="1"/>
    </xf>
    <xf numFmtId="168" fontId="94" fillId="33" borderId="17" xfId="0" applyNumberFormat="1" applyFont="1" applyFill="1" applyBorder="1" applyAlignment="1">
      <alignment horizontal="center" vertical="center" wrapText="1"/>
    </xf>
    <xf numFmtId="168" fontId="34" fillId="38" borderId="0" xfId="0" applyNumberFormat="1" applyFont="1" applyFill="1"/>
    <xf numFmtId="3" fontId="18" fillId="41" borderId="0" xfId="0" applyNumberFormat="1" applyFont="1" applyFill="1" applyBorder="1" applyAlignment="1">
      <alignment horizontal="center" vertical="top"/>
    </xf>
    <xf numFmtId="3" fontId="135" fillId="41" borderId="16" xfId="0" applyNumberFormat="1" applyFont="1" applyFill="1" applyBorder="1" applyAlignment="1">
      <alignment horizontal="center" vertical="top"/>
    </xf>
    <xf numFmtId="168" fontId="35" fillId="0" borderId="0" xfId="45" applyNumberFormat="1" applyFont="1" applyBorder="1" applyAlignment="1">
      <alignment horizontal="center" vertical="top" wrapText="1"/>
    </xf>
    <xf numFmtId="168" fontId="35" fillId="0" borderId="0" xfId="45" applyNumberFormat="1" applyFont="1" applyBorder="1" applyAlignment="1">
      <alignment vertical="top"/>
    </xf>
    <xf numFmtId="3" fontId="66" fillId="39" borderId="113" xfId="0" applyNumberFormat="1" applyFont="1" applyFill="1" applyBorder="1" applyAlignment="1">
      <alignment horizontal="center" vertical="center" wrapText="1"/>
    </xf>
    <xf numFmtId="0" fontId="88" fillId="46" borderId="25" xfId="0" applyFont="1" applyFill="1" applyBorder="1" applyAlignment="1">
      <alignment horizontal="center" vertical="center"/>
    </xf>
    <xf numFmtId="0" fontId="88" fillId="46" borderId="39" xfId="0" applyFont="1" applyFill="1" applyBorder="1" applyAlignment="1">
      <alignment horizontal="center" vertical="center"/>
    </xf>
    <xf numFmtId="165" fontId="108" fillId="53" borderId="25" xfId="57" applyNumberFormat="1" applyFont="1" applyFill="1" applyBorder="1" applyAlignment="1">
      <alignment vertical="center"/>
    </xf>
    <xf numFmtId="165" fontId="108" fillId="53" borderId="39" xfId="57" applyNumberFormat="1" applyFont="1" applyFill="1" applyBorder="1" applyAlignment="1">
      <alignment vertical="center"/>
    </xf>
    <xf numFmtId="165" fontId="88" fillId="53" borderId="25" xfId="57" applyNumberFormat="1" applyFont="1" applyFill="1" applyBorder="1" applyAlignment="1">
      <alignment vertical="center"/>
    </xf>
    <xf numFmtId="165" fontId="88" fillId="53" borderId="39" xfId="57" applyNumberFormat="1" applyFont="1" applyFill="1" applyBorder="1" applyAlignment="1">
      <alignment vertical="center"/>
    </xf>
    <xf numFmtId="10" fontId="66" fillId="0" borderId="25" xfId="57" applyNumberFormat="1" applyFont="1" applyFill="1" applyBorder="1" applyAlignment="1">
      <alignment vertical="center"/>
    </xf>
    <xf numFmtId="0" fontId="108" fillId="0" borderId="25" xfId="0" applyFont="1" applyBorder="1" applyAlignment="1">
      <alignment vertical="center"/>
    </xf>
    <xf numFmtId="0" fontId="88" fillId="0" borderId="25" xfId="0" applyFont="1" applyFill="1" applyBorder="1" applyAlignment="1">
      <alignment vertical="center"/>
    </xf>
    <xf numFmtId="9" fontId="88" fillId="0" borderId="25" xfId="57" applyFont="1" applyFill="1" applyBorder="1" applyAlignment="1">
      <alignment vertical="center"/>
    </xf>
    <xf numFmtId="9" fontId="88" fillId="0" borderId="39" xfId="57" applyFont="1" applyFill="1" applyBorder="1" applyAlignment="1">
      <alignment vertical="center"/>
    </xf>
    <xf numFmtId="10" fontId="66" fillId="0" borderId="25" xfId="57" applyNumberFormat="1" applyFont="1" applyFill="1" applyBorder="1" applyAlignment="1">
      <alignment horizontal="right" vertical="center"/>
    </xf>
    <xf numFmtId="165" fontId="88" fillId="0" borderId="25" xfId="57" applyNumberFormat="1" applyFont="1" applyFill="1" applyBorder="1" applyAlignment="1">
      <alignment vertical="center"/>
    </xf>
    <xf numFmtId="165" fontId="88" fillId="0" borderId="39" xfId="57" applyNumberFormat="1" applyFont="1" applyFill="1" applyBorder="1" applyAlignment="1">
      <alignment vertical="center"/>
    </xf>
    <xf numFmtId="0" fontId="108" fillId="0" borderId="25" xfId="0" applyFont="1" applyFill="1" applyBorder="1" applyAlignment="1">
      <alignment vertical="center"/>
    </xf>
    <xf numFmtId="0" fontId="108" fillId="0" borderId="39" xfId="0" applyFont="1" applyFill="1" applyBorder="1" applyAlignment="1">
      <alignment vertical="center"/>
    </xf>
    <xf numFmtId="3" fontId="82" fillId="0" borderId="44" xfId="0" applyNumberFormat="1" applyFont="1" applyBorder="1" applyAlignment="1">
      <alignment vertical="top"/>
    </xf>
    <xf numFmtId="165" fontId="46" fillId="39" borderId="16" xfId="43" applyNumberFormat="1" applyFont="1" applyFill="1" applyBorder="1" applyAlignment="1">
      <alignment horizontal="center" vertical="top"/>
    </xf>
    <xf numFmtId="1" fontId="46" fillId="33" borderId="16" xfId="0" applyNumberFormat="1" applyFont="1" applyFill="1" applyBorder="1" applyAlignment="1">
      <alignment horizontal="center" vertical="top"/>
    </xf>
    <xf numFmtId="165" fontId="46" fillId="33" borderId="16" xfId="43" applyNumberFormat="1" applyFont="1" applyFill="1" applyBorder="1" applyAlignment="1">
      <alignment horizontal="center" vertical="top"/>
    </xf>
    <xf numFmtId="1" fontId="49" fillId="33" borderId="16" xfId="0" applyNumberFormat="1" applyFont="1" applyFill="1" applyBorder="1" applyAlignment="1">
      <alignment horizontal="center" vertical="top"/>
    </xf>
    <xf numFmtId="9" fontId="46" fillId="39" borderId="16" xfId="43" applyFont="1" applyFill="1" applyBorder="1" applyAlignment="1">
      <alignment horizontal="center" vertical="top"/>
    </xf>
    <xf numFmtId="1" fontId="46" fillId="39" borderId="16" xfId="43" applyNumberFormat="1" applyFont="1" applyFill="1" applyBorder="1" applyAlignment="1">
      <alignment horizontal="center" vertical="top"/>
    </xf>
    <xf numFmtId="0" fontId="67" fillId="0" borderId="25" xfId="0" applyFont="1" applyFill="1" applyBorder="1" applyAlignment="1">
      <alignment vertical="center" wrapText="1"/>
    </xf>
    <xf numFmtId="49" fontId="67" fillId="0" borderId="25" xfId="53" applyNumberFormat="1" applyFont="1" applyFill="1" applyBorder="1" applyAlignment="1">
      <alignment vertical="center" wrapText="1"/>
    </xf>
    <xf numFmtId="0" fontId="68" fillId="0" borderId="25" xfId="49" applyFont="1" applyBorder="1" applyAlignment="1">
      <alignment vertical="center"/>
    </xf>
    <xf numFmtId="3" fontId="67" fillId="0" borderId="25" xfId="53" applyNumberFormat="1" applyFont="1" applyFill="1" applyBorder="1" applyAlignment="1">
      <alignment vertical="center"/>
    </xf>
    <xf numFmtId="0" fontId="74" fillId="0" borderId="25" xfId="49" applyFont="1" applyBorder="1" applyAlignment="1">
      <alignment horizontal="center" vertical="center"/>
    </xf>
    <xf numFmtId="0" fontId="68" fillId="0" borderId="25" xfId="49" quotePrefix="1" applyFont="1" applyBorder="1" applyAlignment="1">
      <alignment vertical="center"/>
    </xf>
    <xf numFmtId="0" fontId="67" fillId="0" borderId="25" xfId="0" applyNumberFormat="1" applyFont="1" applyFill="1" applyBorder="1" applyAlignment="1">
      <alignment vertical="center" wrapText="1"/>
    </xf>
    <xf numFmtId="168" fontId="67" fillId="0" borderId="25" xfId="45" applyNumberFormat="1" applyFont="1" applyFill="1" applyBorder="1" applyAlignment="1">
      <alignment vertical="center" wrapText="1"/>
    </xf>
    <xf numFmtId="167" fontId="68" fillId="0" borderId="25" xfId="58" applyNumberFormat="1" applyFont="1" applyFill="1" applyBorder="1" applyAlignment="1">
      <alignment vertical="center"/>
    </xf>
    <xf numFmtId="49" fontId="67" fillId="0" borderId="25" xfId="0" applyNumberFormat="1" applyFont="1" applyFill="1" applyBorder="1" applyAlignment="1">
      <alignment vertical="center" wrapText="1"/>
    </xf>
    <xf numFmtId="3" fontId="67" fillId="0" borderId="25" xfId="0" applyNumberFormat="1" applyFont="1" applyFill="1" applyBorder="1" applyAlignment="1">
      <alignment vertical="center"/>
    </xf>
    <xf numFmtId="167" fontId="67" fillId="0" borderId="25" xfId="0" applyNumberFormat="1" applyFont="1" applyFill="1" applyBorder="1" applyAlignment="1">
      <alignment vertical="center"/>
    </xf>
    <xf numFmtId="166" fontId="67" fillId="0" borderId="0" xfId="0" applyNumberFormat="1" applyFont="1" applyFill="1" applyBorder="1" applyAlignment="1">
      <alignment vertical="center"/>
    </xf>
    <xf numFmtId="0" fontId="44" fillId="0" borderId="0" xfId="0" applyFont="1" applyFill="1" applyBorder="1" applyAlignment="1">
      <alignment vertical="top"/>
    </xf>
    <xf numFmtId="166" fontId="44" fillId="0" borderId="0" xfId="0" applyNumberFormat="1" applyFont="1" applyFill="1" applyBorder="1" applyAlignment="1">
      <alignment vertical="top"/>
    </xf>
    <xf numFmtId="0" fontId="66" fillId="0" borderId="0" xfId="0" applyFont="1" applyFill="1" applyBorder="1" applyAlignment="1">
      <alignment horizontal="center" vertical="center"/>
    </xf>
    <xf numFmtId="166" fontId="66" fillId="0" borderId="0" xfId="0" applyNumberFormat="1" applyFont="1" applyFill="1" applyBorder="1" applyAlignment="1">
      <alignment vertical="center"/>
    </xf>
    <xf numFmtId="0" fontId="69" fillId="0" borderId="0" xfId="0" applyFont="1" applyFill="1" applyAlignment="1">
      <alignment vertical="top"/>
    </xf>
    <xf numFmtId="0" fontId="44" fillId="0" borderId="0" xfId="0" applyFont="1" applyFill="1" applyAlignment="1">
      <alignment vertical="top"/>
    </xf>
    <xf numFmtId="0" fontId="44" fillId="0" borderId="0" xfId="0" applyFont="1" applyFill="1" applyAlignment="1">
      <alignment vertical="top" wrapText="1"/>
    </xf>
    <xf numFmtId="0" fontId="44" fillId="0" borderId="52" xfId="0" applyFont="1" applyFill="1" applyBorder="1" applyAlignment="1">
      <alignment vertical="top"/>
    </xf>
    <xf numFmtId="0" fontId="18" fillId="0" borderId="17" xfId="0" applyFont="1" applyFill="1" applyBorder="1" applyAlignment="1">
      <alignment vertical="top" wrapText="1"/>
    </xf>
    <xf numFmtId="165" fontId="18" fillId="0" borderId="16" xfId="43" applyNumberFormat="1" applyFont="1" applyFill="1" applyBorder="1" applyAlignment="1">
      <alignment horizontal="center" vertical="top"/>
    </xf>
    <xf numFmtId="1" fontId="18" fillId="0" borderId="16" xfId="0" applyNumberFormat="1" applyFont="1" applyFill="1" applyBorder="1" applyAlignment="1">
      <alignment horizontal="center" vertical="top"/>
    </xf>
    <xf numFmtId="1" fontId="28" fillId="0" borderId="16" xfId="0" applyNumberFormat="1" applyFont="1" applyFill="1" applyBorder="1" applyAlignment="1">
      <alignment horizontal="center" vertical="top"/>
    </xf>
    <xf numFmtId="9" fontId="18" fillId="0" borderId="16" xfId="43" applyFont="1" applyFill="1" applyBorder="1" applyAlignment="1">
      <alignment horizontal="center" vertical="top"/>
    </xf>
    <xf numFmtId="1" fontId="18" fillId="0" borderId="16" xfId="43" applyNumberFormat="1" applyFont="1" applyFill="1" applyBorder="1" applyAlignment="1">
      <alignment horizontal="center" vertical="top"/>
    </xf>
    <xf numFmtId="4" fontId="44" fillId="0" borderId="0" xfId="0" applyNumberFormat="1" applyFont="1" applyFill="1" applyAlignment="1">
      <alignment vertical="top"/>
    </xf>
    <xf numFmtId="0" fontId="48" fillId="0" borderId="17" xfId="0" applyFont="1" applyFill="1" applyBorder="1" applyAlignment="1">
      <alignment horizontal="left" vertical="top" wrapText="1"/>
    </xf>
    <xf numFmtId="0" fontId="18" fillId="0" borderId="17" xfId="0" applyFont="1" applyFill="1" applyBorder="1" applyAlignment="1">
      <alignment horizontal="left" vertical="top" wrapText="1"/>
    </xf>
    <xf numFmtId="0" fontId="28" fillId="0" borderId="18" xfId="0" applyFont="1" applyFill="1" applyBorder="1" applyAlignment="1">
      <alignment horizontal="center" vertical="top" wrapText="1"/>
    </xf>
    <xf numFmtId="0" fontId="28" fillId="0" borderId="16" xfId="0" applyFont="1" applyFill="1" applyBorder="1" applyAlignment="1">
      <alignment horizontal="center" vertical="top" wrapText="1"/>
    </xf>
    <xf numFmtId="3" fontId="18" fillId="0" borderId="17" xfId="0" applyNumberFormat="1" applyFont="1" applyFill="1" applyBorder="1" applyAlignment="1">
      <alignment horizontal="center" vertical="top" wrapText="1"/>
    </xf>
    <xf numFmtId="3" fontId="44" fillId="0" borderId="0" xfId="0" applyNumberFormat="1" applyFont="1" applyFill="1" applyAlignment="1">
      <alignment vertical="top"/>
    </xf>
    <xf numFmtId="0" fontId="18" fillId="0" borderId="17" xfId="0" applyFont="1" applyFill="1" applyBorder="1" applyAlignment="1">
      <alignment horizontal="center" vertical="top" wrapText="1"/>
    </xf>
    <xf numFmtId="165" fontId="18" fillId="0" borderId="16" xfId="0" applyNumberFormat="1" applyFont="1" applyFill="1" applyBorder="1" applyAlignment="1">
      <alignment horizontal="center" vertical="top"/>
    </xf>
    <xf numFmtId="3" fontId="18" fillId="0" borderId="16" xfId="0" applyNumberFormat="1" applyFont="1" applyFill="1" applyBorder="1" applyAlignment="1">
      <alignment horizontal="center" vertical="top"/>
    </xf>
    <xf numFmtId="3" fontId="46" fillId="0" borderId="16" xfId="0" applyNumberFormat="1" applyFont="1" applyFill="1" applyBorder="1" applyAlignment="1">
      <alignment horizontal="center" vertical="top"/>
    </xf>
    <xf numFmtId="0" fontId="48" fillId="0" borderId="17" xfId="0" applyFont="1" applyFill="1" applyBorder="1" applyAlignment="1">
      <alignment vertical="top" wrapText="1"/>
    </xf>
    <xf numFmtId="0" fontId="39" fillId="0" borderId="17" xfId="0" applyFont="1" applyFill="1" applyBorder="1" applyAlignment="1">
      <alignment vertical="top" wrapText="1"/>
    </xf>
    <xf numFmtId="3" fontId="28" fillId="0" borderId="16" xfId="0" applyNumberFormat="1" applyFont="1" applyFill="1" applyBorder="1" applyAlignment="1">
      <alignment horizontal="center" vertical="top"/>
    </xf>
    <xf numFmtId="168" fontId="28" fillId="0" borderId="16" xfId="45" applyNumberFormat="1" applyFont="1" applyFill="1" applyBorder="1" applyAlignment="1">
      <alignment horizontal="left" vertical="top" wrapText="1"/>
    </xf>
    <xf numFmtId="0" fontId="39" fillId="0" borderId="21" xfId="0" applyFont="1" applyFill="1" applyBorder="1" applyAlignment="1">
      <alignment horizontal="left" vertical="top" wrapText="1"/>
    </xf>
    <xf numFmtId="168" fontId="18" fillId="0" borderId="16" xfId="45" applyNumberFormat="1" applyFont="1" applyFill="1" applyBorder="1" applyAlignment="1">
      <alignment horizontal="center" vertical="top"/>
    </xf>
    <xf numFmtId="170" fontId="18" fillId="0" borderId="16" xfId="0" applyNumberFormat="1" applyFont="1" applyFill="1" applyBorder="1" applyAlignment="1">
      <alignment horizontal="center" vertical="top"/>
    </xf>
    <xf numFmtId="169" fontId="28" fillId="0" borderId="16" xfId="45" applyNumberFormat="1" applyFont="1" applyFill="1" applyBorder="1" applyAlignment="1">
      <alignment horizontal="left" vertical="top" wrapText="1"/>
    </xf>
    <xf numFmtId="168" fontId="44" fillId="0" borderId="0" xfId="0" applyNumberFormat="1" applyFont="1" applyFill="1" applyAlignment="1">
      <alignment vertical="top"/>
    </xf>
    <xf numFmtId="3" fontId="28" fillId="0" borderId="13" xfId="0" applyNumberFormat="1" applyFont="1" applyFill="1" applyBorder="1" applyAlignment="1">
      <alignment horizontal="center" vertical="top"/>
    </xf>
    <xf numFmtId="0" fontId="28" fillId="0" borderId="17" xfId="0" applyFont="1" applyFill="1" applyBorder="1" applyAlignment="1">
      <alignment horizontal="left" vertical="top" wrapText="1"/>
    </xf>
    <xf numFmtId="9" fontId="28" fillId="0" borderId="10" xfId="0" applyNumberFormat="1" applyFont="1" applyFill="1" applyBorder="1" applyAlignment="1">
      <alignment horizontal="center" vertical="top"/>
    </xf>
    <xf numFmtId="9" fontId="28" fillId="0" borderId="11" xfId="0" applyNumberFormat="1" applyFont="1" applyFill="1" applyBorder="1" applyAlignment="1">
      <alignment horizontal="center" vertical="top"/>
    </xf>
    <xf numFmtId="9" fontId="28" fillId="0" borderId="14" xfId="0" applyNumberFormat="1" applyFont="1" applyFill="1" applyBorder="1" applyAlignment="1">
      <alignment horizontal="center" vertical="top"/>
    </xf>
    <xf numFmtId="0" fontId="39" fillId="0" borderId="17" xfId="0" applyFont="1" applyFill="1" applyBorder="1" applyAlignment="1">
      <alignment horizontal="left" vertical="top" wrapText="1"/>
    </xf>
    <xf numFmtId="0" fontId="47" fillId="0" borderId="21" xfId="0" applyFont="1" applyFill="1" applyBorder="1" applyAlignment="1">
      <alignment horizontal="left" vertical="top" wrapText="1"/>
    </xf>
    <xf numFmtId="166" fontId="18" fillId="0" borderId="16" xfId="0" applyNumberFormat="1" applyFont="1" applyFill="1" applyBorder="1" applyAlignment="1">
      <alignment horizontal="center" vertical="top"/>
    </xf>
    <xf numFmtId="0" fontId="18" fillId="0" borderId="20" xfId="0" applyFont="1" applyFill="1" applyBorder="1" applyAlignment="1">
      <alignment horizontal="left" vertical="top" wrapText="1"/>
    </xf>
    <xf numFmtId="0" fontId="49" fillId="0" borderId="17" xfId="0" applyFont="1" applyFill="1" applyBorder="1" applyAlignment="1">
      <alignment vertical="top" wrapText="1"/>
    </xf>
    <xf numFmtId="3" fontId="49" fillId="0" borderId="16" xfId="0" applyNumberFormat="1" applyFont="1" applyFill="1" applyBorder="1" applyAlignment="1">
      <alignment horizontal="center" vertical="top"/>
    </xf>
    <xf numFmtId="165" fontId="49" fillId="0" borderId="16" xfId="0" applyNumberFormat="1" applyFont="1" applyFill="1" applyBorder="1" applyAlignment="1">
      <alignment horizontal="center" vertical="top"/>
    </xf>
    <xf numFmtId="0" fontId="46" fillId="0" borderId="17" xfId="0" applyFont="1" applyFill="1" applyBorder="1" applyAlignment="1">
      <alignment horizontal="left" vertical="top" wrapText="1"/>
    </xf>
    <xf numFmtId="166" fontId="46" fillId="0" borderId="16" xfId="0" applyNumberFormat="1" applyFont="1" applyFill="1" applyBorder="1" applyAlignment="1">
      <alignment horizontal="center" vertical="top"/>
    </xf>
    <xf numFmtId="165" fontId="46" fillId="0" borderId="16" xfId="0" applyNumberFormat="1" applyFont="1" applyFill="1" applyBorder="1" applyAlignment="1">
      <alignment horizontal="center" vertical="top"/>
    </xf>
    <xf numFmtId="164" fontId="44" fillId="0" borderId="0" xfId="0" applyNumberFormat="1" applyFont="1" applyFill="1" applyAlignment="1">
      <alignment vertical="top"/>
    </xf>
    <xf numFmtId="0" fontId="44" fillId="0" borderId="0" xfId="0" applyFont="1" applyFill="1" applyBorder="1" applyAlignment="1">
      <alignment vertical="top" wrapText="1"/>
    </xf>
    <xf numFmtId="0" fontId="44" fillId="34" borderId="0" xfId="0" applyFont="1" applyFill="1" applyAlignment="1">
      <alignment vertical="top"/>
    </xf>
    <xf numFmtId="0" fontId="28" fillId="0" borderId="56" xfId="0" applyFont="1" applyFill="1" applyBorder="1" applyAlignment="1">
      <alignment horizontal="center" vertical="top" wrapText="1"/>
    </xf>
    <xf numFmtId="0" fontId="28" fillId="0" borderId="29" xfId="0" applyFont="1" applyFill="1" applyBorder="1" applyAlignment="1">
      <alignment horizontal="center" vertical="top" wrapText="1"/>
    </xf>
    <xf numFmtId="0" fontId="28" fillId="0" borderId="58" xfId="0" applyFont="1" applyFill="1" applyBorder="1" applyAlignment="1">
      <alignment horizontal="center" vertical="top" wrapText="1"/>
    </xf>
    <xf numFmtId="0" fontId="28" fillId="0" borderId="34" xfId="0" applyFont="1" applyFill="1" applyBorder="1" applyAlignment="1">
      <alignment horizontal="center" vertical="top" wrapText="1"/>
    </xf>
    <xf numFmtId="0" fontId="28" fillId="34" borderId="17" xfId="0" applyFont="1" applyFill="1" applyBorder="1" applyAlignment="1">
      <alignment vertical="center" wrapText="1"/>
    </xf>
    <xf numFmtId="3" fontId="28" fillId="34" borderId="16" xfId="0" applyNumberFormat="1" applyFont="1" applyFill="1" applyBorder="1" applyAlignment="1">
      <alignment horizontal="center" vertical="center"/>
    </xf>
    <xf numFmtId="0" fontId="16" fillId="34" borderId="0" xfId="0" applyFont="1" applyFill="1" applyAlignment="1">
      <alignment vertical="top"/>
    </xf>
    <xf numFmtId="3" fontId="38" fillId="34" borderId="16" xfId="0" applyNumberFormat="1" applyFont="1" applyFill="1" applyBorder="1" applyAlignment="1">
      <alignment horizontal="center" vertical="center"/>
    </xf>
    <xf numFmtId="171" fontId="87" fillId="34" borderId="44" xfId="0" applyNumberFormat="1" applyFont="1" applyFill="1" applyBorder="1" applyAlignment="1">
      <alignment vertical="center"/>
    </xf>
    <xf numFmtId="0" fontId="0" fillId="34" borderId="0" xfId="0" applyFont="1" applyFill="1" applyAlignment="1">
      <alignment vertical="top"/>
    </xf>
    <xf numFmtId="3" fontId="0" fillId="34" borderId="0" xfId="0" applyNumberFormat="1" applyFont="1" applyFill="1" applyAlignment="1">
      <alignment vertical="top"/>
    </xf>
    <xf numFmtId="0" fontId="140" fillId="34" borderId="0" xfId="0" applyFont="1" applyFill="1" applyAlignment="1">
      <alignment vertical="top"/>
    </xf>
    <xf numFmtId="0" fontId="141" fillId="34" borderId="17" xfId="0" applyFont="1" applyFill="1" applyBorder="1" applyAlignment="1">
      <alignment horizontal="left" vertical="top" wrapText="1"/>
    </xf>
    <xf numFmtId="0" fontId="141" fillId="34" borderId="20" xfId="0" applyFont="1" applyFill="1" applyBorder="1" applyAlignment="1">
      <alignment horizontal="left" vertical="top" wrapText="1"/>
    </xf>
    <xf numFmtId="0" fontId="143" fillId="34" borderId="0" xfId="0" applyFont="1" applyFill="1" applyAlignment="1">
      <alignment vertical="top"/>
    </xf>
    <xf numFmtId="0" fontId="141" fillId="34" borderId="18" xfId="0" applyFont="1" applyFill="1" applyBorder="1" applyAlignment="1">
      <alignment horizontal="center" vertical="top" wrapText="1"/>
    </xf>
    <xf numFmtId="0" fontId="141" fillId="34" borderId="16" xfId="0" applyFont="1" applyFill="1" applyBorder="1" applyAlignment="1">
      <alignment horizontal="center" vertical="top" wrapText="1"/>
    </xf>
    <xf numFmtId="0" fontId="142" fillId="34" borderId="17" xfId="0" applyFont="1" applyFill="1" applyBorder="1" applyAlignment="1">
      <alignment vertical="top" wrapText="1"/>
    </xf>
    <xf numFmtId="0" fontId="142" fillId="34" borderId="17" xfId="0" applyFont="1" applyFill="1" applyBorder="1" applyAlignment="1">
      <alignment horizontal="left" vertical="top" wrapText="1"/>
    </xf>
    <xf numFmtId="0" fontId="142" fillId="34" borderId="22" xfId="0" applyFont="1" applyFill="1" applyBorder="1" applyAlignment="1">
      <alignment horizontal="left" vertical="top" wrapText="1"/>
    </xf>
    <xf numFmtId="0" fontId="141" fillId="34" borderId="17" xfId="0" applyFont="1" applyFill="1" applyBorder="1" applyAlignment="1">
      <alignment vertical="top" wrapText="1"/>
    </xf>
    <xf numFmtId="4" fontId="140" fillId="34" borderId="0" xfId="0" applyNumberFormat="1" applyFont="1" applyFill="1" applyAlignment="1">
      <alignment vertical="top"/>
    </xf>
    <xf numFmtId="0" fontId="146" fillId="34" borderId="17" xfId="0" applyFont="1" applyFill="1" applyBorder="1" applyAlignment="1">
      <alignment horizontal="left" vertical="top" wrapText="1"/>
    </xf>
    <xf numFmtId="0" fontId="144" fillId="34" borderId="44" xfId="0" applyFont="1" applyFill="1" applyBorder="1" applyAlignment="1">
      <alignment vertical="top"/>
    </xf>
    <xf numFmtId="3" fontId="140" fillId="34" borderId="0" xfId="0" applyNumberFormat="1" applyFont="1" applyFill="1" applyAlignment="1">
      <alignment vertical="top"/>
    </xf>
    <xf numFmtId="0" fontId="141" fillId="34" borderId="10" xfId="0" applyFont="1" applyFill="1" applyBorder="1" applyAlignment="1">
      <alignment vertical="top" wrapText="1"/>
    </xf>
    <xf numFmtId="0" fontId="141" fillId="34" borderId="11" xfId="0" applyFont="1" applyFill="1" applyBorder="1" applyAlignment="1">
      <alignment vertical="top" wrapText="1"/>
    </xf>
    <xf numFmtId="0" fontId="141" fillId="34" borderId="14" xfId="0" applyFont="1" applyFill="1" applyBorder="1" applyAlignment="1">
      <alignment vertical="top" wrapText="1"/>
    </xf>
    <xf numFmtId="0" fontId="142" fillId="34" borderId="19" xfId="0" applyFont="1" applyFill="1" applyBorder="1" applyAlignment="1">
      <alignment horizontal="center" vertical="top" wrapText="1"/>
    </xf>
    <xf numFmtId="0" fontId="142" fillId="34" borderId="17" xfId="0" applyFont="1" applyFill="1" applyBorder="1" applyAlignment="1">
      <alignment horizontal="center" vertical="top" wrapText="1"/>
    </xf>
    <xf numFmtId="3" fontId="142" fillId="34" borderId="16" xfId="0" applyNumberFormat="1" applyFont="1" applyFill="1" applyBorder="1" applyAlignment="1">
      <alignment horizontal="center" vertical="top"/>
    </xf>
    <xf numFmtId="0" fontId="146" fillId="34" borderId="21" xfId="0" applyFont="1" applyFill="1" applyBorder="1" applyAlignment="1">
      <alignment horizontal="left" vertical="top" wrapText="1"/>
    </xf>
    <xf numFmtId="0" fontId="146" fillId="34" borderId="17" xfId="0" applyFont="1" applyFill="1" applyBorder="1" applyAlignment="1">
      <alignment vertical="top" wrapText="1"/>
    </xf>
    <xf numFmtId="3" fontId="141" fillId="34" borderId="16" xfId="0" applyNumberFormat="1" applyFont="1" applyFill="1" applyBorder="1" applyAlignment="1">
      <alignment horizontal="center" vertical="top"/>
    </xf>
    <xf numFmtId="170" fontId="140" fillId="34" borderId="0" xfId="0" applyNumberFormat="1" applyFont="1" applyFill="1" applyAlignment="1">
      <alignment vertical="top"/>
    </xf>
    <xf numFmtId="168" fontId="144" fillId="34" borderId="44" xfId="45" applyNumberFormat="1" applyFont="1" applyFill="1" applyBorder="1" applyAlignment="1">
      <alignment horizontal="left" vertical="center"/>
    </xf>
    <xf numFmtId="168" fontId="144" fillId="34" borderId="117" xfId="45" applyNumberFormat="1" applyFont="1" applyFill="1" applyBorder="1" applyAlignment="1">
      <alignment horizontal="left" vertical="center"/>
    </xf>
    <xf numFmtId="171" fontId="87" fillId="34" borderId="117" xfId="0" applyNumberFormat="1" applyFont="1" applyFill="1" applyBorder="1" applyAlignment="1">
      <alignment vertical="center"/>
    </xf>
    <xf numFmtId="0" fontId="147" fillId="34" borderId="0" xfId="0" applyFont="1" applyFill="1" applyAlignment="1">
      <alignment horizontal="left" vertical="top"/>
    </xf>
    <xf numFmtId="0" fontId="147" fillId="34" borderId="0" xfId="0" applyFont="1" applyFill="1" applyAlignment="1">
      <alignment horizontal="right" vertical="top"/>
    </xf>
    <xf numFmtId="0" fontId="148" fillId="34" borderId="20" xfId="0" applyFont="1" applyFill="1" applyBorder="1" applyAlignment="1">
      <alignment horizontal="left" vertical="top" wrapText="1"/>
    </xf>
    <xf numFmtId="0" fontId="147" fillId="34" borderId="18" xfId="0" applyFont="1" applyFill="1" applyBorder="1" applyAlignment="1">
      <alignment horizontal="center" vertical="top" wrapText="1"/>
    </xf>
    <xf numFmtId="0" fontId="147" fillId="34" borderId="16" xfId="0" applyFont="1" applyFill="1" applyBorder="1" applyAlignment="1">
      <alignment horizontal="center" vertical="top" wrapText="1"/>
    </xf>
    <xf numFmtId="3" fontId="92" fillId="34" borderId="25" xfId="0" applyNumberFormat="1" applyFont="1" applyFill="1" applyBorder="1" applyAlignment="1">
      <alignment vertical="center"/>
    </xf>
    <xf numFmtId="0" fontId="148" fillId="34" borderId="17" xfId="0" applyFont="1" applyFill="1" applyBorder="1" applyAlignment="1">
      <alignment horizontal="left" vertical="top" wrapText="1"/>
    </xf>
    <xf numFmtId="0" fontId="147" fillId="34" borderId="17" xfId="0" applyFont="1" applyFill="1" applyBorder="1" applyAlignment="1">
      <alignment horizontal="left" vertical="top" wrapText="1"/>
    </xf>
    <xf numFmtId="0" fontId="148" fillId="34" borderId="18" xfId="0" applyFont="1" applyFill="1" applyBorder="1" applyAlignment="1">
      <alignment horizontal="center" vertical="center" wrapText="1"/>
    </xf>
    <xf numFmtId="0" fontId="148" fillId="34" borderId="16" xfId="0" applyFont="1" applyFill="1" applyBorder="1" applyAlignment="1">
      <alignment horizontal="center" vertical="center" wrapText="1"/>
    </xf>
    <xf numFmtId="9" fontId="70" fillId="34" borderId="44" xfId="43" applyFont="1" applyFill="1" applyBorder="1" applyAlignment="1">
      <alignment horizontal="right" vertical="top"/>
    </xf>
    <xf numFmtId="0" fontId="148" fillId="34" borderId="10" xfId="0" applyFont="1" applyFill="1" applyBorder="1" applyAlignment="1">
      <alignment horizontal="left" vertical="top" wrapText="1"/>
    </xf>
    <xf numFmtId="0" fontId="148" fillId="34" borderId="11" xfId="0" applyFont="1" applyFill="1" applyBorder="1" applyAlignment="1">
      <alignment horizontal="right" vertical="top" wrapText="1"/>
    </xf>
    <xf numFmtId="0" fontId="148" fillId="34" borderId="14" xfId="0" applyFont="1" applyFill="1" applyBorder="1" applyAlignment="1">
      <alignment horizontal="right" vertical="top" wrapText="1"/>
    </xf>
    <xf numFmtId="0" fontId="147" fillId="34" borderId="19" xfId="0" applyFont="1" applyFill="1" applyBorder="1" applyAlignment="1">
      <alignment horizontal="left" vertical="top" wrapText="1"/>
    </xf>
    <xf numFmtId="0" fontId="148" fillId="34" borderId="18" xfId="0" applyFont="1" applyFill="1" applyBorder="1" applyAlignment="1">
      <alignment horizontal="center" vertical="top" wrapText="1"/>
    </xf>
    <xf numFmtId="0" fontId="148" fillId="34" borderId="16" xfId="0" applyFont="1" applyFill="1" applyBorder="1" applyAlignment="1">
      <alignment horizontal="center" vertical="top" wrapText="1"/>
    </xf>
    <xf numFmtId="3" fontId="147" fillId="34" borderId="16" xfId="0" applyNumberFormat="1" applyFont="1" applyFill="1" applyBorder="1" applyAlignment="1">
      <alignment horizontal="right" vertical="top"/>
    </xf>
    <xf numFmtId="0" fontId="149" fillId="34" borderId="17" xfId="0" applyFont="1" applyFill="1" applyBorder="1" applyAlignment="1">
      <alignment horizontal="left" vertical="top" wrapText="1"/>
    </xf>
    <xf numFmtId="3" fontId="148" fillId="34" borderId="16" xfId="0" applyNumberFormat="1" applyFont="1" applyFill="1" applyBorder="1" applyAlignment="1">
      <alignment horizontal="right" vertical="top"/>
    </xf>
    <xf numFmtId="0" fontId="147" fillId="34" borderId="105" xfId="0" applyFont="1" applyFill="1" applyBorder="1" applyAlignment="1">
      <alignment horizontal="left" vertical="top" wrapText="1"/>
    </xf>
    <xf numFmtId="0" fontId="147" fillId="34" borderId="104" xfId="0" applyFont="1" applyFill="1" applyBorder="1" applyAlignment="1">
      <alignment horizontal="left" vertical="top" wrapText="1"/>
    </xf>
    <xf numFmtId="0" fontId="147" fillId="34" borderId="57" xfId="0" applyFont="1" applyFill="1" applyBorder="1" applyAlignment="1">
      <alignment horizontal="left" vertical="top" wrapText="1"/>
    </xf>
    <xf numFmtId="0" fontId="148" fillId="34" borderId="22" xfId="0" applyFont="1" applyFill="1" applyBorder="1" applyAlignment="1">
      <alignment horizontal="left" vertical="top" wrapText="1"/>
    </xf>
    <xf numFmtId="0" fontId="148" fillId="34" borderId="13" xfId="0" applyFont="1" applyFill="1" applyBorder="1" applyAlignment="1">
      <alignment horizontal="right" vertical="top" wrapText="1"/>
    </xf>
    <xf numFmtId="0" fontId="148" fillId="34" borderId="16" xfId="0" applyFont="1" applyFill="1" applyBorder="1" applyAlignment="1">
      <alignment horizontal="right" vertical="top" wrapText="1"/>
    </xf>
    <xf numFmtId="0" fontId="148" fillId="34" borderId="18" xfId="0" applyFont="1" applyFill="1" applyBorder="1" applyAlignment="1">
      <alignment horizontal="right" vertical="top" wrapText="1"/>
    </xf>
    <xf numFmtId="0" fontId="149" fillId="34" borderId="21" xfId="0" applyFont="1" applyFill="1" applyBorder="1" applyAlignment="1">
      <alignment horizontal="left" vertical="top" wrapText="1"/>
    </xf>
    <xf numFmtId="2" fontId="147" fillId="34" borderId="16" xfId="0" applyNumberFormat="1" applyFont="1" applyFill="1" applyBorder="1" applyAlignment="1">
      <alignment horizontal="right" vertical="top"/>
    </xf>
    <xf numFmtId="171" fontId="70" fillId="34" borderId="47" xfId="0" applyNumberFormat="1" applyFont="1" applyFill="1" applyBorder="1" applyAlignment="1">
      <alignment horizontal="right" vertical="top"/>
    </xf>
    <xf numFmtId="168" fontId="70" fillId="34" borderId="47" xfId="45" applyNumberFormat="1" applyFont="1" applyFill="1" applyBorder="1" applyAlignment="1">
      <alignment horizontal="right" vertical="top"/>
    </xf>
    <xf numFmtId="0" fontId="70" fillId="34" borderId="0" xfId="0" applyFont="1" applyFill="1" applyAlignment="1">
      <alignment vertical="center"/>
    </xf>
    <xf numFmtId="165" fontId="148" fillId="34" borderId="16" xfId="0" applyNumberFormat="1" applyFont="1" applyFill="1" applyBorder="1" applyAlignment="1">
      <alignment horizontal="right" vertical="top"/>
    </xf>
    <xf numFmtId="165" fontId="147" fillId="34" borderId="16" xfId="0" applyNumberFormat="1" applyFont="1" applyFill="1" applyBorder="1" applyAlignment="1">
      <alignment horizontal="right" vertical="top"/>
    </xf>
    <xf numFmtId="0" fontId="148" fillId="34" borderId="0" xfId="0" applyFont="1" applyFill="1" applyBorder="1" applyAlignment="1">
      <alignment horizontal="left" vertical="top" wrapText="1"/>
    </xf>
    <xf numFmtId="3" fontId="147" fillId="34" borderId="0" xfId="0" applyNumberFormat="1" applyFont="1" applyFill="1" applyBorder="1" applyAlignment="1">
      <alignment horizontal="right" vertical="top"/>
    </xf>
    <xf numFmtId="0" fontId="148" fillId="59" borderId="17" xfId="0" applyFont="1" applyFill="1" applyBorder="1" applyAlignment="1">
      <alignment horizontal="left" vertical="top" wrapText="1"/>
    </xf>
    <xf numFmtId="3" fontId="92" fillId="34" borderId="0" xfId="0" applyNumberFormat="1" applyFont="1" applyFill="1" applyBorder="1" applyAlignment="1">
      <alignment vertical="center"/>
    </xf>
    <xf numFmtId="3" fontId="147" fillId="34" borderId="16" xfId="0" applyNumberFormat="1" applyFont="1" applyFill="1" applyBorder="1" applyAlignment="1">
      <alignment horizontal="left" vertical="top"/>
    </xf>
    <xf numFmtId="0" fontId="28" fillId="59" borderId="17" xfId="0" applyFont="1" applyFill="1" applyBorder="1" applyAlignment="1">
      <alignment vertical="top" wrapText="1"/>
    </xf>
    <xf numFmtId="0" fontId="93" fillId="33" borderId="0" xfId="0" applyFont="1" applyFill="1"/>
    <xf numFmtId="0" fontId="97" fillId="33" borderId="0" xfId="0" applyFont="1" applyFill="1" applyAlignment="1">
      <alignment horizontal="center"/>
    </xf>
    <xf numFmtId="0" fontId="97" fillId="33" borderId="0" xfId="0" applyFont="1" applyFill="1" applyAlignment="1"/>
    <xf numFmtId="0" fontId="97" fillId="33" borderId="0" xfId="0" applyFont="1" applyFill="1" applyBorder="1" applyAlignment="1">
      <alignment horizontal="center"/>
    </xf>
    <xf numFmtId="0" fontId="93" fillId="33" borderId="0" xfId="0" applyFont="1" applyFill="1" applyBorder="1" applyAlignment="1">
      <alignment horizontal="left" vertical="top" wrapText="1"/>
    </xf>
    <xf numFmtId="0" fontId="93" fillId="33" borderId="0" xfId="0" applyFont="1" applyFill="1" applyBorder="1" applyAlignment="1">
      <alignment horizontal="left" vertical="top"/>
    </xf>
    <xf numFmtId="3" fontId="93" fillId="33" borderId="0" xfId="0" applyNumberFormat="1" applyFont="1" applyFill="1" applyBorder="1" applyAlignment="1">
      <alignment horizontal="center"/>
    </xf>
    <xf numFmtId="9" fontId="93" fillId="33" borderId="0" xfId="0" applyNumberFormat="1" applyFont="1" applyFill="1" applyBorder="1" applyAlignment="1">
      <alignment horizontal="center" vertical="center"/>
    </xf>
    <xf numFmtId="1" fontId="93" fillId="33" borderId="0" xfId="0" applyNumberFormat="1" applyFont="1" applyFill="1" applyBorder="1" applyAlignment="1">
      <alignment horizontal="center" vertical="center"/>
    </xf>
    <xf numFmtId="4" fontId="93" fillId="33" borderId="0" xfId="0" applyNumberFormat="1" applyFont="1" applyFill="1"/>
    <xf numFmtId="9" fontId="93" fillId="33" borderId="0" xfId="0" applyNumberFormat="1" applyFont="1" applyFill="1" applyBorder="1" applyAlignment="1">
      <alignment horizontal="right" vertical="center"/>
    </xf>
    <xf numFmtId="3" fontId="93" fillId="33" borderId="0" xfId="0" applyNumberFormat="1" applyFont="1" applyFill="1" applyBorder="1" applyAlignment="1"/>
    <xf numFmtId="168" fontId="82" fillId="33" borderId="0" xfId="45" applyNumberFormat="1" applyFont="1" applyFill="1" applyBorder="1" applyAlignment="1">
      <alignment vertical="center"/>
    </xf>
    <xf numFmtId="3" fontId="94" fillId="33" borderId="0" xfId="0" applyNumberFormat="1" applyFont="1" applyFill="1" applyBorder="1" applyAlignment="1">
      <alignment horizontal="right" vertical="center"/>
    </xf>
    <xf numFmtId="171" fontId="82" fillId="33" borderId="0" xfId="0" applyNumberFormat="1" applyFont="1" applyFill="1" applyBorder="1" applyAlignment="1">
      <alignment vertical="center"/>
    </xf>
    <xf numFmtId="9" fontId="82" fillId="33" borderId="0" xfId="43" applyFont="1" applyFill="1" applyBorder="1" applyAlignment="1">
      <alignment vertical="center"/>
    </xf>
    <xf numFmtId="3" fontId="93" fillId="33" borderId="0" xfId="0" applyNumberFormat="1" applyFont="1" applyFill="1"/>
    <xf numFmtId="0" fontId="97" fillId="33" borderId="0" xfId="0" applyFont="1" applyFill="1" applyBorder="1" applyAlignment="1">
      <alignment vertical="center" wrapText="1"/>
    </xf>
    <xf numFmtId="166" fontId="93" fillId="33" borderId="0" xfId="0" applyNumberFormat="1" applyFont="1" applyFill="1"/>
    <xf numFmtId="3" fontId="94" fillId="33" borderId="0" xfId="0" applyNumberFormat="1" applyFont="1" applyFill="1" applyBorder="1" applyAlignment="1"/>
    <xf numFmtId="3" fontId="97" fillId="33" borderId="0" xfId="0" applyNumberFormat="1" applyFont="1" applyFill="1" applyBorder="1" applyAlignment="1">
      <alignment horizontal="center" vertical="center"/>
    </xf>
    <xf numFmtId="168" fontId="82" fillId="33" borderId="0" xfId="45" applyNumberFormat="1" applyFont="1" applyFill="1" applyBorder="1" applyAlignment="1">
      <alignment vertical="top"/>
    </xf>
    <xf numFmtId="171" fontId="82" fillId="33" borderId="0" xfId="0" applyNumberFormat="1" applyFont="1" applyFill="1" applyBorder="1" applyAlignment="1">
      <alignment vertical="top"/>
    </xf>
    <xf numFmtId="3" fontId="93" fillId="33" borderId="0" xfId="0" applyNumberFormat="1" applyFont="1" applyFill="1" applyBorder="1" applyAlignment="1">
      <alignment horizontal="center" vertical="center"/>
    </xf>
    <xf numFmtId="3" fontId="94" fillId="33" borderId="0" xfId="0" applyNumberFormat="1" applyFont="1" applyFill="1" applyBorder="1" applyAlignment="1">
      <alignment horizontal="center" vertical="center"/>
    </xf>
    <xf numFmtId="0" fontId="82" fillId="33" borderId="0" xfId="0" applyFont="1" applyFill="1" applyBorder="1" applyAlignment="1">
      <alignment vertical="top"/>
    </xf>
    <xf numFmtId="3" fontId="82" fillId="33" borderId="0" xfId="0" applyNumberFormat="1" applyFont="1" applyFill="1" applyBorder="1" applyAlignment="1">
      <alignment vertical="top"/>
    </xf>
    <xf numFmtId="168" fontId="93" fillId="33" borderId="0" xfId="45" applyNumberFormat="1" applyFont="1" applyFill="1" applyBorder="1" applyAlignment="1">
      <alignment horizontal="center" vertical="center"/>
    </xf>
    <xf numFmtId="0" fontId="93" fillId="33" borderId="0" xfId="0" applyFont="1" applyFill="1" applyBorder="1" applyAlignment="1">
      <alignment horizontal="left" vertical="center" wrapText="1"/>
    </xf>
    <xf numFmtId="9" fontId="93" fillId="33" borderId="0" xfId="43" applyFont="1" applyFill="1" applyBorder="1" applyAlignment="1">
      <alignment horizontal="center" vertical="center"/>
    </xf>
    <xf numFmtId="168" fontId="82" fillId="33" borderId="0" xfId="45" applyNumberFormat="1" applyFont="1" applyFill="1" applyBorder="1" applyAlignment="1">
      <alignment horizontal="center" vertical="center"/>
    </xf>
    <xf numFmtId="171" fontId="82" fillId="33" borderId="0" xfId="0" applyNumberFormat="1" applyFont="1" applyFill="1" applyBorder="1" applyAlignment="1">
      <alignment horizontal="center" vertical="center"/>
    </xf>
    <xf numFmtId="165" fontId="99" fillId="33" borderId="0" xfId="0" applyNumberFormat="1" applyFont="1" applyFill="1" applyBorder="1" applyAlignment="1">
      <alignment horizontal="center" vertical="center"/>
    </xf>
    <xf numFmtId="165" fontId="94" fillId="33" borderId="0" xfId="0" applyNumberFormat="1" applyFont="1" applyFill="1" applyBorder="1" applyAlignment="1">
      <alignment horizontal="center" vertical="center"/>
    </xf>
    <xf numFmtId="0" fontId="94" fillId="33" borderId="0" xfId="0" applyFont="1" applyFill="1" applyAlignment="1">
      <alignment horizontal="left" wrapText="1"/>
    </xf>
    <xf numFmtId="0" fontId="94" fillId="33" borderId="0" xfId="0" applyFont="1" applyFill="1" applyAlignment="1">
      <alignment wrapText="1"/>
    </xf>
    <xf numFmtId="0" fontId="147" fillId="33" borderId="0" xfId="0" applyFont="1" applyFill="1"/>
    <xf numFmtId="0" fontId="148" fillId="33" borderId="20" xfId="0" applyFont="1" applyFill="1" applyBorder="1" applyAlignment="1">
      <alignment horizontal="left" vertical="center" wrapText="1"/>
    </xf>
    <xf numFmtId="0" fontId="147" fillId="33" borderId="18" xfId="0" applyFont="1" applyFill="1" applyBorder="1" applyAlignment="1">
      <alignment horizontal="center" vertical="center" wrapText="1"/>
    </xf>
    <xf numFmtId="0" fontId="147" fillId="33" borderId="16" xfId="0" applyFont="1" applyFill="1" applyBorder="1" applyAlignment="1">
      <alignment horizontal="center" vertical="center" wrapText="1"/>
    </xf>
    <xf numFmtId="0" fontId="147" fillId="33" borderId="17" xfId="0" applyFont="1" applyFill="1" applyBorder="1" applyAlignment="1">
      <alignment vertical="center" wrapText="1"/>
    </xf>
    <xf numFmtId="3" fontId="147" fillId="33" borderId="16" xfId="0" applyNumberFormat="1" applyFont="1" applyFill="1" applyBorder="1" applyAlignment="1">
      <alignment horizontal="center"/>
    </xf>
    <xf numFmtId="0" fontId="147" fillId="33" borderId="17" xfId="0" applyFont="1" applyFill="1" applyBorder="1" applyAlignment="1">
      <alignment horizontal="left" vertical="center" wrapText="1"/>
    </xf>
    <xf numFmtId="165" fontId="147" fillId="33" borderId="16" xfId="0" applyNumberFormat="1" applyFont="1" applyFill="1" applyBorder="1" applyAlignment="1">
      <alignment horizontal="center" vertical="center"/>
    </xf>
    <xf numFmtId="9" fontId="147" fillId="33" borderId="16" xfId="0" applyNumberFormat="1" applyFont="1" applyFill="1" applyBorder="1" applyAlignment="1">
      <alignment horizontal="center" vertical="center"/>
    </xf>
    <xf numFmtId="1" fontId="147" fillId="33" borderId="16" xfId="0" applyNumberFormat="1" applyFont="1" applyFill="1" applyBorder="1" applyAlignment="1">
      <alignment horizontal="center" vertical="center"/>
    </xf>
    <xf numFmtId="0" fontId="148" fillId="59" borderId="17" xfId="0" applyFont="1" applyFill="1" applyBorder="1" applyAlignment="1">
      <alignment vertical="center" wrapText="1"/>
    </xf>
    <xf numFmtId="0" fontId="147" fillId="33" borderId="25" xfId="0" applyFont="1" applyFill="1" applyBorder="1" applyAlignment="1">
      <alignment horizontal="center" vertical="center" wrapText="1"/>
    </xf>
    <xf numFmtId="9" fontId="147" fillId="33" borderId="16" xfId="0" applyNumberFormat="1" applyFont="1" applyFill="1" applyBorder="1" applyAlignment="1">
      <alignment horizontal="right" vertical="center"/>
    </xf>
    <xf numFmtId="3" fontId="147" fillId="33" borderId="16" xfId="0" applyNumberFormat="1" applyFont="1" applyFill="1" applyBorder="1" applyAlignment="1"/>
    <xf numFmtId="0" fontId="149" fillId="33" borderId="17" xfId="0" applyFont="1" applyFill="1" applyBorder="1" applyAlignment="1">
      <alignment horizontal="left" vertical="center" wrapText="1"/>
    </xf>
    <xf numFmtId="0" fontId="148" fillId="33" borderId="18" xfId="0" applyFont="1" applyFill="1" applyBorder="1" applyAlignment="1">
      <alignment horizontal="center" vertical="center" wrapText="1"/>
    </xf>
    <xf numFmtId="0" fontId="147" fillId="33" borderId="22" xfId="0" applyFont="1" applyFill="1" applyBorder="1" applyAlignment="1">
      <alignment horizontal="left" vertical="center" wrapText="1"/>
    </xf>
    <xf numFmtId="168" fontId="70" fillId="33" borderId="103" xfId="45" applyNumberFormat="1" applyFont="1" applyFill="1" applyBorder="1" applyAlignment="1">
      <alignment vertical="top"/>
    </xf>
    <xf numFmtId="168" fontId="70" fillId="33" borderId="102" xfId="45" applyNumberFormat="1" applyFont="1" applyFill="1" applyBorder="1" applyAlignment="1">
      <alignment vertical="top"/>
    </xf>
    <xf numFmtId="168" fontId="70" fillId="33" borderId="101" xfId="45" applyNumberFormat="1" applyFont="1" applyFill="1" applyBorder="1" applyAlignment="1">
      <alignment vertical="center"/>
    </xf>
    <xf numFmtId="3" fontId="153" fillId="33" borderId="18" xfId="0" applyNumberFormat="1" applyFont="1" applyFill="1" applyBorder="1" applyAlignment="1">
      <alignment horizontal="right" vertical="center"/>
    </xf>
    <xf numFmtId="171" fontId="70" fillId="33" borderId="100" xfId="0" applyNumberFormat="1" applyFont="1" applyFill="1" applyBorder="1" applyAlignment="1">
      <alignment vertical="center"/>
    </xf>
    <xf numFmtId="171" fontId="70" fillId="33" borderId="99" xfId="0" applyNumberFormat="1" applyFont="1" applyFill="1" applyBorder="1" applyAlignment="1">
      <alignment vertical="center"/>
    </xf>
    <xf numFmtId="171" fontId="70" fillId="33" borderId="98" xfId="0" applyNumberFormat="1" applyFont="1" applyFill="1" applyBorder="1" applyAlignment="1">
      <alignment vertical="center"/>
    </xf>
    <xf numFmtId="0" fontId="70" fillId="33" borderId="97" xfId="0" applyFont="1" applyFill="1" applyBorder="1" applyAlignment="1">
      <alignment vertical="center"/>
    </xf>
    <xf numFmtId="9" fontId="70" fillId="33" borderId="44" xfId="43" applyFont="1" applyFill="1" applyBorder="1" applyAlignment="1">
      <alignment vertical="center"/>
    </xf>
    <xf numFmtId="9" fontId="70" fillId="33" borderId="96" xfId="43" applyFont="1" applyFill="1" applyBorder="1" applyAlignment="1">
      <alignment vertical="center"/>
    </xf>
    <xf numFmtId="0" fontId="70" fillId="33" borderId="95" xfId="0" applyFont="1" applyFill="1" applyBorder="1" applyAlignment="1">
      <alignment vertical="center"/>
    </xf>
    <xf numFmtId="9" fontId="70" fillId="33" borderId="94" xfId="43" applyFont="1" applyFill="1" applyBorder="1" applyAlignment="1">
      <alignment vertical="center"/>
    </xf>
    <xf numFmtId="9" fontId="70" fillId="33" borderId="93" xfId="43" applyFont="1" applyFill="1" applyBorder="1" applyAlignment="1">
      <alignment vertical="center"/>
    </xf>
    <xf numFmtId="0" fontId="148" fillId="33" borderId="10" xfId="0" applyFont="1" applyFill="1" applyBorder="1" applyAlignment="1">
      <alignment vertical="center" wrapText="1"/>
    </xf>
    <xf numFmtId="0" fontId="148" fillId="33" borderId="13" xfId="0" applyFont="1" applyFill="1" applyBorder="1" applyAlignment="1">
      <alignment vertical="center" wrapText="1"/>
    </xf>
    <xf numFmtId="0" fontId="148" fillId="33" borderId="16" xfId="0" applyFont="1" applyFill="1" applyBorder="1" applyAlignment="1">
      <alignment vertical="center" wrapText="1"/>
    </xf>
    <xf numFmtId="0" fontId="147" fillId="33" borderId="19" xfId="0" applyFont="1" applyFill="1" applyBorder="1" applyAlignment="1">
      <alignment horizontal="center" vertical="center" wrapText="1"/>
    </xf>
    <xf numFmtId="0" fontId="147" fillId="33" borderId="17" xfId="0" applyFont="1" applyFill="1" applyBorder="1" applyAlignment="1">
      <alignment horizontal="center" vertical="center" wrapText="1"/>
    </xf>
    <xf numFmtId="0" fontId="148" fillId="33" borderId="16" xfId="0" applyFont="1" applyFill="1" applyBorder="1" applyAlignment="1">
      <alignment horizontal="center" vertical="center" wrapText="1"/>
    </xf>
    <xf numFmtId="0" fontId="147" fillId="33" borderId="17" xfId="0" applyFont="1" applyFill="1" applyBorder="1" applyAlignment="1">
      <alignment horizontal="left" vertical="center" wrapText="1" indent="1"/>
    </xf>
    <xf numFmtId="3" fontId="153" fillId="33" borderId="16" xfId="0" applyNumberFormat="1" applyFont="1" applyFill="1" applyBorder="1" applyAlignment="1"/>
    <xf numFmtId="0" fontId="154" fillId="33" borderId="21" xfId="0" applyFont="1" applyFill="1" applyBorder="1" applyAlignment="1">
      <alignment horizontal="left" vertical="center" wrapText="1" indent="1"/>
    </xf>
    <xf numFmtId="0" fontId="149" fillId="33" borderId="17" xfId="0" applyFont="1" applyFill="1" applyBorder="1" applyAlignment="1">
      <alignment vertical="center" wrapText="1"/>
    </xf>
    <xf numFmtId="3" fontId="148" fillId="33" borderId="16" xfId="0" applyNumberFormat="1" applyFont="1" applyFill="1" applyBorder="1" applyAlignment="1">
      <alignment horizontal="center" vertical="center"/>
    </xf>
    <xf numFmtId="0" fontId="147" fillId="33" borderId="20" xfId="0" applyFont="1" applyFill="1" applyBorder="1" applyAlignment="1">
      <alignment horizontal="left" vertical="center" wrapText="1"/>
    </xf>
    <xf numFmtId="168" fontId="70" fillId="33" borderId="92" xfId="45" applyNumberFormat="1" applyFont="1" applyFill="1" applyBorder="1" applyAlignment="1">
      <alignment vertical="top"/>
    </xf>
    <xf numFmtId="168" fontId="70" fillId="33" borderId="119" xfId="45" applyNumberFormat="1" applyFont="1" applyFill="1" applyBorder="1" applyAlignment="1">
      <alignment vertical="top"/>
    </xf>
    <xf numFmtId="171" fontId="70" fillId="33" borderId="44" xfId="0" applyNumberFormat="1" applyFont="1" applyFill="1" applyBorder="1" applyAlignment="1">
      <alignment vertical="top"/>
    </xf>
    <xf numFmtId="171" fontId="70" fillId="33" borderId="117" xfId="0" applyNumberFormat="1" applyFont="1" applyFill="1" applyBorder="1" applyAlignment="1">
      <alignment vertical="top"/>
    </xf>
    <xf numFmtId="0" fontId="70" fillId="33" borderId="44" xfId="0" applyFont="1" applyFill="1" applyBorder="1" applyAlignment="1">
      <alignment vertical="center"/>
    </xf>
    <xf numFmtId="9" fontId="70" fillId="33" borderId="117" xfId="43" applyFont="1" applyFill="1" applyBorder="1" applyAlignment="1">
      <alignment vertical="center"/>
    </xf>
    <xf numFmtId="0" fontId="70" fillId="33" borderId="120" xfId="0" applyFont="1" applyFill="1" applyBorder="1" applyAlignment="1">
      <alignment vertical="center"/>
    </xf>
    <xf numFmtId="9" fontId="70" fillId="33" borderId="120" xfId="43" applyFont="1" applyFill="1" applyBorder="1" applyAlignment="1">
      <alignment vertical="center"/>
    </xf>
    <xf numFmtId="9" fontId="70" fillId="33" borderId="121" xfId="43" applyFont="1" applyFill="1" applyBorder="1" applyAlignment="1">
      <alignment vertical="center"/>
    </xf>
    <xf numFmtId="0" fontId="148" fillId="33" borderId="11" xfId="0" applyFont="1" applyFill="1" applyBorder="1" applyAlignment="1">
      <alignment vertical="center" wrapText="1"/>
    </xf>
    <xf numFmtId="0" fontId="148" fillId="33" borderId="14" xfId="0" applyFont="1" applyFill="1" applyBorder="1" applyAlignment="1">
      <alignment vertical="center" wrapText="1"/>
    </xf>
    <xf numFmtId="3" fontId="147" fillId="33" borderId="16" xfId="0" applyNumberFormat="1" applyFont="1" applyFill="1" applyBorder="1" applyAlignment="1">
      <alignment horizontal="center" vertical="center"/>
    </xf>
    <xf numFmtId="3" fontId="153" fillId="33" borderId="16" xfId="0" applyNumberFormat="1" applyFont="1" applyFill="1" applyBorder="1" applyAlignment="1">
      <alignment horizontal="center" vertical="center"/>
    </xf>
    <xf numFmtId="0" fontId="70" fillId="33" borderId="44" xfId="0" applyFont="1" applyFill="1" applyBorder="1" applyAlignment="1">
      <alignment vertical="top"/>
    </xf>
    <xf numFmtId="168" fontId="70" fillId="33" borderId="44" xfId="45" applyNumberFormat="1" applyFont="1" applyFill="1" applyBorder="1" applyAlignment="1">
      <alignment vertical="top"/>
    </xf>
    <xf numFmtId="168" fontId="147" fillId="33" borderId="16" xfId="45" applyNumberFormat="1" applyFont="1" applyFill="1" applyBorder="1" applyAlignment="1">
      <alignment horizontal="center" vertical="center"/>
    </xf>
    <xf numFmtId="0" fontId="148" fillId="33" borderId="25" xfId="0" applyFont="1" applyFill="1" applyBorder="1" applyAlignment="1">
      <alignment horizontal="center" vertical="center" wrapText="1"/>
    </xf>
    <xf numFmtId="0" fontId="147" fillId="33" borderId="17" xfId="0" applyFont="1" applyFill="1" applyBorder="1" applyAlignment="1">
      <alignment horizontal="right" vertical="center" wrapText="1"/>
    </xf>
    <xf numFmtId="0" fontId="148" fillId="33" borderId="17" xfId="0" applyFont="1" applyFill="1" applyBorder="1" applyAlignment="1">
      <alignment vertical="center" wrapText="1"/>
    </xf>
    <xf numFmtId="9" fontId="147" fillId="33" borderId="16" xfId="43" applyFont="1" applyFill="1" applyBorder="1" applyAlignment="1">
      <alignment horizontal="center" vertical="center"/>
    </xf>
    <xf numFmtId="168" fontId="70" fillId="33" borderId="44" xfId="45" applyNumberFormat="1" applyFont="1" applyFill="1" applyBorder="1" applyAlignment="1">
      <alignment vertical="center"/>
    </xf>
    <xf numFmtId="3" fontId="148" fillId="59" borderId="16" xfId="0" applyNumberFormat="1" applyFont="1" applyFill="1" applyBorder="1" applyAlignment="1">
      <alignment horizontal="center" vertical="center"/>
    </xf>
    <xf numFmtId="0" fontId="155" fillId="33" borderId="17" xfId="0" applyFont="1" applyFill="1" applyBorder="1" applyAlignment="1">
      <alignment vertical="center" wrapText="1"/>
    </xf>
    <xf numFmtId="3" fontId="155" fillId="33" borderId="16" xfId="0" applyNumberFormat="1" applyFont="1" applyFill="1" applyBorder="1" applyAlignment="1">
      <alignment horizontal="center" vertical="center"/>
    </xf>
    <xf numFmtId="165" fontId="155" fillId="33" borderId="16" xfId="0" applyNumberFormat="1" applyFont="1" applyFill="1" applyBorder="1" applyAlignment="1">
      <alignment horizontal="center" vertical="center"/>
    </xf>
    <xf numFmtId="0" fontId="153" fillId="33" borderId="17" xfId="0" applyFont="1" applyFill="1" applyBorder="1" applyAlignment="1">
      <alignment horizontal="left" vertical="center" wrapText="1" indent="1"/>
    </xf>
    <xf numFmtId="165" fontId="153" fillId="33" borderId="16" xfId="0" applyNumberFormat="1" applyFont="1" applyFill="1" applyBorder="1" applyAlignment="1">
      <alignment horizontal="center" vertical="center"/>
    </xf>
    <xf numFmtId="0" fontId="155" fillId="33" borderId="17" xfId="0" applyFont="1" applyFill="1" applyBorder="1" applyAlignment="1">
      <alignment horizontal="left" vertical="center" wrapText="1" indent="1"/>
    </xf>
    <xf numFmtId="0" fontId="37" fillId="0" borderId="0" xfId="0" applyFont="1" applyAlignment="1">
      <alignment horizontal="left" vertical="top"/>
    </xf>
    <xf numFmtId="0" fontId="37" fillId="0" borderId="0" xfId="0" applyFont="1" applyAlignment="1">
      <alignment horizontal="right" vertical="top"/>
    </xf>
    <xf numFmtId="0" fontId="37" fillId="0" borderId="0" xfId="0" applyFont="1" applyFill="1" applyAlignment="1">
      <alignment horizontal="left" vertical="top"/>
    </xf>
    <xf numFmtId="0" fontId="38" fillId="33" borderId="17" xfId="0" applyFont="1" applyFill="1" applyBorder="1" applyAlignment="1">
      <alignment horizontal="left" vertical="top" wrapText="1"/>
    </xf>
    <xf numFmtId="0" fontId="90" fillId="33" borderId="18" xfId="0" applyFont="1" applyFill="1" applyBorder="1" applyAlignment="1">
      <alignment horizontal="right" vertical="top" wrapText="1"/>
    </xf>
    <xf numFmtId="0" fontId="90" fillId="33" borderId="16" xfId="0" applyFont="1" applyFill="1" applyBorder="1" applyAlignment="1">
      <alignment horizontal="right" vertical="top" wrapText="1"/>
    </xf>
    <xf numFmtId="0" fontId="38" fillId="33" borderId="19" xfId="0" applyFont="1" applyFill="1" applyBorder="1" applyAlignment="1">
      <alignment horizontal="left" vertical="top" wrapText="1"/>
    </xf>
    <xf numFmtId="0" fontId="139" fillId="0" borderId="17" xfId="0" applyFont="1" applyFill="1" applyBorder="1" applyAlignment="1">
      <alignment horizontal="left" vertical="top" wrapText="1"/>
    </xf>
    <xf numFmtId="0" fontId="38" fillId="0" borderId="17" xfId="0" applyFont="1" applyFill="1" applyBorder="1" applyAlignment="1">
      <alignment horizontal="left" vertical="top" wrapText="1"/>
    </xf>
    <xf numFmtId="0" fontId="90" fillId="0" borderId="18" xfId="0" applyFont="1" applyFill="1" applyBorder="1" applyAlignment="1">
      <alignment horizontal="right" vertical="top" wrapText="1"/>
    </xf>
    <xf numFmtId="0" fontId="38" fillId="0" borderId="105" xfId="0" applyFont="1" applyFill="1" applyBorder="1" applyAlignment="1">
      <alignment horizontal="left" vertical="top" wrapText="1"/>
    </xf>
    <xf numFmtId="0" fontId="38" fillId="0" borderId="104" xfId="0" applyFont="1" applyFill="1" applyBorder="1" applyAlignment="1">
      <alignment horizontal="left" vertical="top" wrapText="1"/>
    </xf>
    <xf numFmtId="3" fontId="84" fillId="0" borderId="47" xfId="0" applyNumberFormat="1" applyFont="1" applyFill="1" applyBorder="1" applyAlignment="1">
      <alignment horizontal="right" vertical="top"/>
    </xf>
    <xf numFmtId="0" fontId="84" fillId="0" borderId="44" xfId="0" applyFont="1" applyFill="1" applyBorder="1" applyAlignment="1">
      <alignment horizontal="right" vertical="top"/>
    </xf>
    <xf numFmtId="9" fontId="84" fillId="0" borderId="44" xfId="43" applyFont="1" applyFill="1" applyBorder="1" applyAlignment="1">
      <alignment horizontal="right" vertical="top"/>
    </xf>
    <xf numFmtId="0" fontId="38" fillId="0" borderId="57" xfId="0" applyFont="1" applyFill="1" applyBorder="1" applyAlignment="1">
      <alignment horizontal="left" vertical="top" wrapText="1"/>
    </xf>
    <xf numFmtId="0" fontId="90" fillId="0" borderId="22" xfId="0" applyFont="1" applyFill="1" applyBorder="1" applyAlignment="1">
      <alignment horizontal="left" vertical="top" wrapText="1"/>
    </xf>
    <xf numFmtId="0" fontId="90" fillId="0" borderId="13" xfId="0" applyFont="1" applyFill="1" applyBorder="1" applyAlignment="1">
      <alignment horizontal="right" vertical="top" wrapText="1"/>
    </xf>
    <xf numFmtId="0" fontId="90" fillId="0" borderId="16" xfId="0" applyFont="1" applyFill="1" applyBorder="1" applyAlignment="1">
      <alignment horizontal="right" vertical="top" wrapText="1"/>
    </xf>
    <xf numFmtId="3" fontId="38" fillId="0" borderId="16" xfId="0" applyNumberFormat="1" applyFont="1" applyFill="1" applyBorder="1" applyAlignment="1">
      <alignment horizontal="right" vertical="top"/>
    </xf>
    <xf numFmtId="3" fontId="138" fillId="0" borderId="16" xfId="0" applyNumberFormat="1" applyFont="1" applyFill="1" applyBorder="1" applyAlignment="1">
      <alignment horizontal="right" vertical="top"/>
    </xf>
    <xf numFmtId="0" fontId="158" fillId="0" borderId="21" xfId="0" applyFont="1" applyFill="1" applyBorder="1" applyAlignment="1">
      <alignment horizontal="left" vertical="top" wrapText="1"/>
    </xf>
    <xf numFmtId="3" fontId="90" fillId="0" borderId="16" xfId="0" applyNumberFormat="1" applyFont="1" applyFill="1" applyBorder="1" applyAlignment="1">
      <alignment horizontal="right" vertical="top"/>
    </xf>
    <xf numFmtId="0" fontId="90" fillId="0" borderId="17" xfId="0" applyFont="1" applyFill="1" applyBorder="1" applyAlignment="1">
      <alignment horizontal="left" vertical="top" wrapText="1"/>
    </xf>
    <xf numFmtId="0" fontId="38" fillId="0" borderId="25" xfId="0" applyFont="1" applyFill="1" applyBorder="1" applyAlignment="1">
      <alignment horizontal="left" vertical="top" wrapText="1"/>
    </xf>
    <xf numFmtId="0" fontId="38" fillId="0" borderId="25" xfId="0" applyFont="1" applyFill="1" applyBorder="1" applyAlignment="1">
      <alignment horizontal="right" vertical="top" wrapText="1"/>
    </xf>
    <xf numFmtId="9" fontId="38" fillId="0" borderId="16" xfId="0" applyNumberFormat="1" applyFont="1" applyFill="1" applyBorder="1" applyAlignment="1">
      <alignment horizontal="right" vertical="top"/>
    </xf>
    <xf numFmtId="0" fontId="84" fillId="0" borderId="47" xfId="0" applyFont="1" applyFill="1" applyBorder="1" applyAlignment="1">
      <alignment horizontal="right" vertical="top"/>
    </xf>
    <xf numFmtId="171" fontId="84" fillId="0" borderId="44" xfId="0" applyNumberFormat="1" applyFont="1" applyFill="1" applyBorder="1" applyAlignment="1">
      <alignment horizontal="right" vertical="top"/>
    </xf>
    <xf numFmtId="171" fontId="84" fillId="0" borderId="47" xfId="0" applyNumberFormat="1" applyFont="1" applyFill="1" applyBorder="1" applyAlignment="1">
      <alignment horizontal="right" vertical="top"/>
    </xf>
    <xf numFmtId="3" fontId="38" fillId="0" borderId="17" xfId="0" applyNumberFormat="1" applyFont="1" applyFill="1" applyBorder="1" applyAlignment="1">
      <alignment horizontal="right" vertical="top" wrapText="1"/>
    </xf>
    <xf numFmtId="0" fontId="38" fillId="0" borderId="17" xfId="0" applyFont="1" applyFill="1" applyBorder="1" applyAlignment="1">
      <alignment horizontal="right" vertical="top" wrapText="1"/>
    </xf>
    <xf numFmtId="165" fontId="38" fillId="0" borderId="16" xfId="0" applyNumberFormat="1" applyFont="1" applyFill="1" applyBorder="1" applyAlignment="1">
      <alignment horizontal="right" vertical="top"/>
    </xf>
    <xf numFmtId="0" fontId="137" fillId="0" borderId="17" xfId="0" applyFont="1" applyFill="1" applyBorder="1" applyAlignment="1">
      <alignment horizontal="left" vertical="top" wrapText="1"/>
    </xf>
    <xf numFmtId="3" fontId="137" fillId="0" borderId="16" xfId="0" applyNumberFormat="1" applyFont="1" applyFill="1" applyBorder="1" applyAlignment="1">
      <alignment horizontal="right" vertical="top"/>
    </xf>
    <xf numFmtId="165" fontId="137" fillId="0" borderId="16" xfId="0" applyNumberFormat="1" applyFont="1" applyFill="1" applyBorder="1" applyAlignment="1">
      <alignment horizontal="right" vertical="top"/>
    </xf>
    <xf numFmtId="0" fontId="138" fillId="0" borderId="17" xfId="0" applyFont="1" applyFill="1" applyBorder="1" applyAlignment="1">
      <alignment horizontal="left" vertical="top" wrapText="1"/>
    </xf>
    <xf numFmtId="165" fontId="138" fillId="0" borderId="16" xfId="0" applyNumberFormat="1" applyFont="1" applyFill="1" applyBorder="1" applyAlignment="1">
      <alignment horizontal="right" vertical="top"/>
    </xf>
    <xf numFmtId="0" fontId="90" fillId="0" borderId="0" xfId="0" applyFont="1" applyFill="1" applyBorder="1" applyAlignment="1">
      <alignment horizontal="left" vertical="top" wrapText="1"/>
    </xf>
    <xf numFmtId="3" fontId="38" fillId="0" borderId="0" xfId="0" applyNumberFormat="1" applyFont="1" applyFill="1" applyBorder="1" applyAlignment="1">
      <alignment horizontal="right" vertical="top"/>
    </xf>
    <xf numFmtId="0" fontId="37" fillId="0" borderId="0" xfId="0" applyFont="1" applyFill="1" applyAlignment="1">
      <alignment horizontal="right" vertical="top"/>
    </xf>
    <xf numFmtId="0" fontId="90" fillId="0" borderId="20" xfId="0" applyFont="1" applyFill="1" applyBorder="1" applyAlignment="1">
      <alignment horizontal="left" vertical="top" wrapText="1"/>
    </xf>
    <xf numFmtId="0" fontId="90" fillId="0" borderId="10" xfId="0" applyFont="1" applyFill="1" applyBorder="1" applyAlignment="1">
      <alignment horizontal="left" vertical="top" wrapText="1"/>
    </xf>
    <xf numFmtId="0" fontId="90" fillId="0" borderId="11" xfId="0" applyFont="1" applyFill="1" applyBorder="1" applyAlignment="1">
      <alignment horizontal="right" vertical="top" wrapText="1"/>
    </xf>
    <xf numFmtId="0" fontId="90" fillId="0" borderId="14" xfId="0" applyFont="1" applyFill="1" applyBorder="1" applyAlignment="1">
      <alignment horizontal="right" vertical="top" wrapText="1"/>
    </xf>
    <xf numFmtId="1" fontId="38" fillId="0" borderId="16" xfId="0" applyNumberFormat="1" applyFont="1" applyFill="1" applyBorder="1" applyAlignment="1">
      <alignment horizontal="right" vertical="top"/>
    </xf>
    <xf numFmtId="0" fontId="38" fillId="0" borderId="22" xfId="0" applyFont="1" applyFill="1" applyBorder="1" applyAlignment="1">
      <alignment horizontal="left" vertical="top" wrapText="1"/>
    </xf>
    <xf numFmtId="1" fontId="38" fillId="0" borderId="13" xfId="0" applyNumberFormat="1" applyFont="1" applyFill="1" applyBorder="1" applyAlignment="1">
      <alignment horizontal="right" vertical="top"/>
    </xf>
    <xf numFmtId="0" fontId="90" fillId="59" borderId="17" xfId="0" applyFont="1" applyFill="1" applyBorder="1" applyAlignment="1">
      <alignment horizontal="left" vertical="top" wrapText="1"/>
    </xf>
    <xf numFmtId="0" fontId="90" fillId="33" borderId="18" xfId="0" applyFont="1" applyFill="1" applyBorder="1" applyAlignment="1">
      <alignment horizontal="center" vertical="top" wrapText="1"/>
    </xf>
    <xf numFmtId="0" fontId="90" fillId="33" borderId="16" xfId="0" applyFont="1" applyFill="1" applyBorder="1" applyAlignment="1">
      <alignment horizontal="center" vertical="top" wrapText="1"/>
    </xf>
    <xf numFmtId="0" fontId="90" fillId="33" borderId="15" xfId="0" applyFont="1" applyFill="1" applyBorder="1" applyAlignment="1">
      <alignment horizontal="right" vertical="top" wrapText="1"/>
    </xf>
    <xf numFmtId="0" fontId="93" fillId="33" borderId="0" xfId="0" applyFont="1" applyFill="1" applyAlignment="1">
      <alignment horizontal="center" vertical="top"/>
    </xf>
    <xf numFmtId="0" fontId="93" fillId="33" borderId="0" xfId="0" applyFont="1" applyFill="1" applyAlignment="1">
      <alignment horizontal="left" vertical="top"/>
    </xf>
    <xf numFmtId="3" fontId="93" fillId="33" borderId="0" xfId="0" applyNumberFormat="1" applyFont="1" applyFill="1" applyAlignment="1">
      <alignment horizontal="center" vertical="top"/>
    </xf>
    <xf numFmtId="0" fontId="153" fillId="33" borderId="17" xfId="0" applyFont="1" applyFill="1" applyBorder="1" applyAlignment="1">
      <alignment horizontal="left" vertical="top" wrapText="1"/>
    </xf>
    <xf numFmtId="1" fontId="153" fillId="33" borderId="16" xfId="0" applyNumberFormat="1" applyFont="1" applyFill="1" applyBorder="1" applyAlignment="1">
      <alignment horizontal="center" vertical="center"/>
    </xf>
    <xf numFmtId="168" fontId="153" fillId="33" borderId="16" xfId="45" applyNumberFormat="1" applyFont="1" applyFill="1" applyBorder="1" applyAlignment="1">
      <alignment horizontal="center" vertical="center"/>
    </xf>
    <xf numFmtId="0" fontId="155" fillId="33" borderId="16" xfId="0" applyFont="1" applyFill="1" applyBorder="1" applyAlignment="1">
      <alignment horizontal="center" vertical="center" wrapText="1"/>
    </xf>
    <xf numFmtId="3" fontId="153" fillId="33" borderId="17" xfId="0" applyNumberFormat="1" applyFont="1" applyFill="1" applyBorder="1" applyAlignment="1">
      <alignment horizontal="center" vertical="center" wrapText="1"/>
    </xf>
    <xf numFmtId="49" fontId="153" fillId="33" borderId="17" xfId="0" applyNumberFormat="1" applyFont="1" applyFill="1" applyBorder="1" applyAlignment="1">
      <alignment horizontal="center" vertical="center" wrapText="1"/>
    </xf>
    <xf numFmtId="0" fontId="148" fillId="33" borderId="17" xfId="0" applyFont="1" applyFill="1" applyBorder="1" applyAlignment="1">
      <alignment horizontal="left" vertical="top" wrapText="1"/>
    </xf>
    <xf numFmtId="0" fontId="147" fillId="33" borderId="17" xfId="0" applyFont="1" applyFill="1" applyBorder="1" applyAlignment="1">
      <alignment horizontal="left" vertical="top" wrapText="1"/>
    </xf>
    <xf numFmtId="0" fontId="149" fillId="33" borderId="17" xfId="0" applyFont="1" applyFill="1" applyBorder="1" applyAlignment="1">
      <alignment horizontal="left" vertical="top" wrapText="1"/>
    </xf>
    <xf numFmtId="3" fontId="147" fillId="33" borderId="17" xfId="0" applyNumberFormat="1" applyFont="1" applyFill="1" applyBorder="1" applyAlignment="1">
      <alignment horizontal="center" vertical="center" wrapText="1"/>
    </xf>
    <xf numFmtId="0" fontId="154" fillId="33" borderId="21" xfId="0" applyFont="1" applyFill="1" applyBorder="1" applyAlignment="1">
      <alignment horizontal="left" vertical="top" wrapText="1"/>
    </xf>
    <xf numFmtId="0" fontId="149" fillId="33" borderId="21" xfId="0" applyFont="1" applyFill="1" applyBorder="1" applyAlignment="1">
      <alignment horizontal="left" vertical="top" wrapText="1"/>
    </xf>
    <xf numFmtId="3" fontId="148" fillId="33" borderId="18" xfId="0" applyNumberFormat="1" applyFont="1" applyFill="1" applyBorder="1" applyAlignment="1">
      <alignment horizontal="center" vertical="center"/>
    </xf>
    <xf numFmtId="0" fontId="149" fillId="33" borderId="22" xfId="0" applyFont="1" applyFill="1" applyBorder="1" applyAlignment="1">
      <alignment horizontal="left" vertical="top" wrapText="1"/>
    </xf>
    <xf numFmtId="0" fontId="147" fillId="33" borderId="22" xfId="0" applyFont="1" applyFill="1" applyBorder="1" applyAlignment="1">
      <alignment horizontal="left" vertical="top" wrapText="1"/>
    </xf>
    <xf numFmtId="0" fontId="38" fillId="33" borderId="17" xfId="0" applyFont="1" applyFill="1" applyBorder="1" applyAlignment="1">
      <alignment horizontal="left" vertical="center" wrapText="1" indent="1"/>
    </xf>
    <xf numFmtId="3" fontId="38" fillId="33" borderId="16" xfId="0" applyNumberFormat="1" applyFont="1" applyFill="1" applyBorder="1" applyAlignment="1">
      <alignment horizontal="center" vertical="center"/>
    </xf>
    <xf numFmtId="0" fontId="158" fillId="33" borderId="21" xfId="0" applyFont="1" applyFill="1" applyBorder="1" applyAlignment="1">
      <alignment horizontal="left" vertical="center" wrapText="1" indent="1"/>
    </xf>
    <xf numFmtId="0" fontId="147" fillId="33" borderId="25" xfId="0" applyFont="1" applyFill="1" applyBorder="1" applyAlignment="1">
      <alignment horizontal="left" vertical="top" wrapText="1"/>
    </xf>
    <xf numFmtId="0" fontId="149" fillId="33" borderId="25" xfId="0" applyFont="1" applyFill="1" applyBorder="1" applyAlignment="1">
      <alignment horizontal="left" vertical="top" wrapText="1"/>
    </xf>
    <xf numFmtId="0" fontId="148" fillId="33" borderId="66" xfId="0" applyFont="1" applyFill="1" applyBorder="1" applyAlignment="1">
      <alignment horizontal="center" vertical="center" wrapText="1"/>
    </xf>
    <xf numFmtId="4" fontId="147" fillId="33" borderId="17" xfId="0" applyNumberFormat="1" applyFont="1" applyFill="1" applyBorder="1" applyAlignment="1">
      <alignment horizontal="center" vertical="center" wrapText="1"/>
    </xf>
    <xf numFmtId="3" fontId="148" fillId="33" borderId="17" xfId="0" applyNumberFormat="1" applyFont="1" applyFill="1" applyBorder="1" applyAlignment="1">
      <alignment horizontal="center" vertical="center" wrapText="1"/>
    </xf>
    <xf numFmtId="0" fontId="148" fillId="33" borderId="21" xfId="0" applyFont="1" applyFill="1" applyBorder="1" applyAlignment="1">
      <alignment horizontal="left" vertical="top" wrapText="1"/>
    </xf>
    <xf numFmtId="0" fontId="155" fillId="33" borderId="17" xfId="0" applyFont="1" applyFill="1" applyBorder="1" applyAlignment="1">
      <alignment horizontal="left" vertical="top" wrapText="1"/>
    </xf>
    <xf numFmtId="166" fontId="147" fillId="33" borderId="16" xfId="0" applyNumberFormat="1" applyFont="1" applyFill="1" applyBorder="1" applyAlignment="1">
      <alignment horizontal="center" vertical="center"/>
    </xf>
    <xf numFmtId="166" fontId="153" fillId="33" borderId="16" xfId="0" applyNumberFormat="1" applyFont="1" applyFill="1" applyBorder="1" applyAlignment="1">
      <alignment horizontal="center" vertical="center"/>
    </xf>
    <xf numFmtId="0" fontId="92" fillId="33" borderId="17" xfId="0" applyFont="1" applyFill="1" applyBorder="1" applyAlignment="1">
      <alignment horizontal="left" vertical="top" wrapText="1"/>
    </xf>
    <xf numFmtId="0" fontId="149" fillId="33" borderId="0" xfId="0" applyFont="1" applyFill="1" applyBorder="1" applyAlignment="1">
      <alignment horizontal="left" vertical="top" wrapText="1"/>
    </xf>
    <xf numFmtId="3" fontId="148" fillId="33" borderId="0" xfId="0" applyNumberFormat="1" applyFont="1" applyFill="1" applyBorder="1" applyAlignment="1">
      <alignment horizontal="center" vertical="center"/>
    </xf>
    <xf numFmtId="0" fontId="160" fillId="33" borderId="0" xfId="0" applyFont="1" applyFill="1" applyAlignment="1">
      <alignment horizontal="left" vertical="top"/>
    </xf>
    <xf numFmtId="0" fontId="147" fillId="33" borderId="0" xfId="0" applyFont="1" applyFill="1" applyAlignment="1">
      <alignment horizontal="center" vertical="center"/>
    </xf>
    <xf numFmtId="0" fontId="147" fillId="33" borderId="0" xfId="0" applyFont="1" applyFill="1" applyAlignment="1">
      <alignment horizontal="left" vertical="top"/>
    </xf>
    <xf numFmtId="0" fontId="84" fillId="33" borderId="0" xfId="53" applyFont="1" applyFill="1" applyBorder="1" applyAlignment="1">
      <alignment vertical="top"/>
    </xf>
    <xf numFmtId="0" fontId="84" fillId="33" borderId="0" xfId="53" applyFont="1" applyFill="1" applyAlignment="1">
      <alignment vertical="top"/>
    </xf>
    <xf numFmtId="0" fontId="92" fillId="33" borderId="124" xfId="53" applyFont="1" applyFill="1" applyBorder="1" applyAlignment="1">
      <alignment horizontal="left" vertical="top"/>
    </xf>
    <xf numFmtId="0" fontId="70" fillId="33" borderId="124" xfId="53" applyFont="1" applyFill="1" applyBorder="1" applyAlignment="1">
      <alignment vertical="top"/>
    </xf>
    <xf numFmtId="0" fontId="92" fillId="33" borderId="124" xfId="53" applyFont="1" applyFill="1" applyBorder="1" applyAlignment="1">
      <alignment vertical="top"/>
    </xf>
    <xf numFmtId="166" fontId="92" fillId="33" borderId="124" xfId="53" applyNumberFormat="1" applyFont="1" applyFill="1" applyBorder="1" applyAlignment="1">
      <alignment vertical="top"/>
    </xf>
    <xf numFmtId="166" fontId="70" fillId="33" borderId="124" xfId="53" applyNumberFormat="1" applyFont="1" applyFill="1" applyBorder="1" applyAlignment="1">
      <alignment vertical="top"/>
    </xf>
    <xf numFmtId="9" fontId="140" fillId="34" borderId="0" xfId="43" applyFont="1" applyFill="1" applyAlignment="1">
      <alignment vertical="top"/>
    </xf>
    <xf numFmtId="168" fontId="84" fillId="34" borderId="44" xfId="45" applyNumberFormat="1" applyFont="1" applyFill="1" applyBorder="1" applyAlignment="1">
      <alignment horizontal="center"/>
    </xf>
    <xf numFmtId="168" fontId="84" fillId="34" borderId="117" xfId="45" applyNumberFormat="1" applyFont="1" applyFill="1" applyBorder="1" applyAlignment="1">
      <alignment horizontal="center"/>
    </xf>
    <xf numFmtId="169" fontId="84" fillId="34" borderId="44" xfId="45" applyNumberFormat="1" applyFont="1" applyFill="1" applyBorder="1" applyAlignment="1">
      <alignment horizontal="center"/>
    </xf>
    <xf numFmtId="169" fontId="84" fillId="34" borderId="117" xfId="45" applyNumberFormat="1" applyFont="1" applyFill="1" applyBorder="1" applyAlignment="1">
      <alignment horizontal="center"/>
    </xf>
    <xf numFmtId="0" fontId="84" fillId="34" borderId="44" xfId="0" applyFont="1" applyFill="1" applyBorder="1" applyAlignment="1">
      <alignment vertical="top"/>
    </xf>
    <xf numFmtId="165" fontId="84" fillId="34" borderId="44" xfId="43" applyNumberFormat="1" applyFont="1" applyFill="1" applyBorder="1" applyAlignment="1">
      <alignment vertical="top"/>
    </xf>
    <xf numFmtId="165" fontId="84" fillId="34" borderId="117" xfId="43" applyNumberFormat="1" applyFont="1" applyFill="1" applyBorder="1" applyAlignment="1">
      <alignment vertical="top"/>
    </xf>
    <xf numFmtId="168" fontId="84" fillId="34" borderId="44" xfId="45" applyNumberFormat="1" applyFont="1" applyFill="1" applyBorder="1" applyAlignment="1"/>
    <xf numFmtId="168" fontId="84" fillId="34" borderId="117" xfId="45" applyNumberFormat="1" applyFont="1" applyFill="1" applyBorder="1" applyAlignment="1"/>
    <xf numFmtId="9" fontId="84" fillId="34" borderId="44" xfId="43" applyFont="1" applyFill="1" applyBorder="1" applyAlignment="1"/>
    <xf numFmtId="9" fontId="84" fillId="34" borderId="117" xfId="43" applyFont="1" applyFill="1" applyBorder="1" applyAlignment="1"/>
    <xf numFmtId="168" fontId="84" fillId="34" borderId="44" xfId="45" applyNumberFormat="1" applyFont="1" applyFill="1" applyBorder="1" applyAlignment="1">
      <alignment vertical="center"/>
    </xf>
    <xf numFmtId="168" fontId="84" fillId="34" borderId="117" xfId="45" applyNumberFormat="1" applyFont="1" applyFill="1" applyBorder="1" applyAlignment="1">
      <alignment vertical="center"/>
    </xf>
    <xf numFmtId="168" fontId="84" fillId="34" borderId="44" xfId="45" applyNumberFormat="1" applyFont="1" applyFill="1" applyBorder="1" applyAlignment="1">
      <alignment horizontal="left" vertical="center"/>
    </xf>
    <xf numFmtId="168" fontId="84" fillId="34" borderId="117" xfId="45" applyNumberFormat="1" applyFont="1" applyFill="1" applyBorder="1" applyAlignment="1">
      <alignment horizontal="left" vertical="center"/>
    </xf>
    <xf numFmtId="168" fontId="84" fillId="34" borderId="44" xfId="45" applyNumberFormat="1" applyFont="1" applyFill="1" applyBorder="1" applyAlignment="1">
      <alignment horizontal="center" vertical="center"/>
    </xf>
    <xf numFmtId="168" fontId="84" fillId="34" borderId="117" xfId="45" applyNumberFormat="1" applyFont="1" applyFill="1" applyBorder="1" applyAlignment="1">
      <alignment horizontal="center" vertical="center"/>
    </xf>
    <xf numFmtId="168" fontId="84" fillId="34" borderId="44" xfId="45" applyNumberFormat="1" applyFont="1" applyFill="1" applyBorder="1" applyAlignment="1">
      <alignment horizontal="right" vertical="center"/>
    </xf>
    <xf numFmtId="168" fontId="84" fillId="34" borderId="117" xfId="45" applyNumberFormat="1" applyFont="1" applyFill="1" applyBorder="1" applyAlignment="1">
      <alignment horizontal="right" vertical="center"/>
    </xf>
    <xf numFmtId="9" fontId="84" fillId="34" borderId="44" xfId="43" applyFont="1" applyFill="1" applyBorder="1" applyAlignment="1">
      <alignment horizontal="right" vertical="center"/>
    </xf>
    <xf numFmtId="9" fontId="84" fillId="34" borderId="117" xfId="43" applyFont="1" applyFill="1" applyBorder="1" applyAlignment="1">
      <alignment horizontal="right" vertical="center"/>
    </xf>
    <xf numFmtId="169" fontId="65" fillId="34" borderId="44" xfId="45" applyNumberFormat="1" applyFont="1" applyFill="1" applyBorder="1" applyAlignment="1">
      <alignment horizontal="center"/>
    </xf>
    <xf numFmtId="169" fontId="65" fillId="34" borderId="117" xfId="45" applyNumberFormat="1" applyFont="1" applyFill="1" applyBorder="1" applyAlignment="1">
      <alignment horizontal="center"/>
    </xf>
    <xf numFmtId="3" fontId="90" fillId="34" borderId="16" xfId="0" applyNumberFormat="1" applyFont="1" applyFill="1" applyBorder="1" applyAlignment="1">
      <alignment horizontal="center" vertical="top"/>
    </xf>
    <xf numFmtId="9" fontId="84" fillId="34" borderId="44" xfId="43" applyFont="1" applyFill="1" applyBorder="1" applyAlignment="1">
      <alignment vertical="top"/>
    </xf>
    <xf numFmtId="0" fontId="90" fillId="34" borderId="11" xfId="0" applyFont="1" applyFill="1" applyBorder="1" applyAlignment="1">
      <alignment vertical="top" wrapText="1"/>
    </xf>
    <xf numFmtId="0" fontId="90" fillId="34" borderId="14" xfId="0" applyFont="1" applyFill="1" applyBorder="1" applyAlignment="1">
      <alignment vertical="top" wrapText="1"/>
    </xf>
    <xf numFmtId="0" fontId="90" fillId="34" borderId="18" xfId="0" applyFont="1" applyFill="1" applyBorder="1" applyAlignment="1">
      <alignment horizontal="center" vertical="top" wrapText="1"/>
    </xf>
    <xf numFmtId="0" fontId="90" fillId="34" borderId="16" xfId="0" applyFont="1" applyFill="1" applyBorder="1" applyAlignment="1">
      <alignment horizontal="center" vertical="top" wrapText="1"/>
    </xf>
    <xf numFmtId="3" fontId="38" fillId="34" borderId="16" xfId="0" applyNumberFormat="1" applyFont="1" applyFill="1" applyBorder="1" applyAlignment="1">
      <alignment horizontal="center" vertical="top"/>
    </xf>
    <xf numFmtId="165" fontId="84" fillId="34" borderId="44" xfId="43" applyNumberFormat="1" applyFont="1" applyFill="1" applyBorder="1" applyAlignment="1">
      <alignment horizontal="center"/>
    </xf>
    <xf numFmtId="165" fontId="84" fillId="34" borderId="117" xfId="43" applyNumberFormat="1" applyFont="1" applyFill="1" applyBorder="1" applyAlignment="1">
      <alignment horizontal="center"/>
    </xf>
    <xf numFmtId="168" fontId="84" fillId="34" borderId="44" xfId="45" applyNumberFormat="1" applyFont="1" applyFill="1" applyBorder="1" applyAlignment="1">
      <alignment vertical="top"/>
    </xf>
    <xf numFmtId="168" fontId="84" fillId="34" borderId="117" xfId="45" applyNumberFormat="1" applyFont="1" applyFill="1" applyBorder="1" applyAlignment="1">
      <alignment vertical="top"/>
    </xf>
    <xf numFmtId="165" fontId="84" fillId="34" borderId="44" xfId="43" applyNumberFormat="1" applyFont="1" applyFill="1" applyBorder="1" applyAlignment="1">
      <alignment vertical="center"/>
    </xf>
    <xf numFmtId="165" fontId="84" fillId="34" borderId="117" xfId="43" applyNumberFormat="1" applyFont="1" applyFill="1" applyBorder="1" applyAlignment="1">
      <alignment vertical="center"/>
    </xf>
    <xf numFmtId="169" fontId="84" fillId="34" borderId="44" xfId="45" applyNumberFormat="1" applyFont="1" applyFill="1" applyBorder="1" applyAlignment="1">
      <alignment horizontal="left" vertical="center"/>
    </xf>
    <xf numFmtId="169" fontId="84" fillId="34" borderId="117" xfId="45" applyNumberFormat="1" applyFont="1" applyFill="1" applyBorder="1" applyAlignment="1">
      <alignment horizontal="left" vertical="center"/>
    </xf>
    <xf numFmtId="165" fontId="84" fillId="34" borderId="44" xfId="0" applyNumberFormat="1" applyFont="1" applyFill="1" applyBorder="1" applyAlignment="1">
      <alignment vertical="top"/>
    </xf>
    <xf numFmtId="165" fontId="84" fillId="34" borderId="117" xfId="0" applyNumberFormat="1" applyFont="1" applyFill="1" applyBorder="1" applyAlignment="1">
      <alignment vertical="top"/>
    </xf>
    <xf numFmtId="165" fontId="84" fillId="34" borderId="44" xfId="43" applyNumberFormat="1" applyFont="1" applyFill="1" applyBorder="1" applyAlignment="1">
      <alignment horizontal="right" vertical="center"/>
    </xf>
    <xf numFmtId="165" fontId="84" fillId="34" borderId="117" xfId="43" applyNumberFormat="1" applyFont="1" applyFill="1" applyBorder="1" applyAlignment="1">
      <alignment horizontal="right" vertical="center"/>
    </xf>
    <xf numFmtId="0" fontId="84" fillId="34" borderId="117" xfId="0" applyFont="1" applyFill="1" applyBorder="1" applyAlignment="1">
      <alignment vertical="top"/>
    </xf>
    <xf numFmtId="171" fontId="84" fillId="34" borderId="44" xfId="0" applyNumberFormat="1" applyFont="1" applyFill="1" applyBorder="1" applyAlignment="1">
      <alignment vertical="top"/>
    </xf>
    <xf numFmtId="168" fontId="70" fillId="34" borderId="25" xfId="45" applyNumberFormat="1" applyFont="1" applyFill="1" applyBorder="1" applyAlignment="1">
      <alignment horizontal="center" vertical="center"/>
    </xf>
    <xf numFmtId="168" fontId="70" fillId="34" borderId="118" xfId="45" applyNumberFormat="1" applyFont="1" applyFill="1" applyBorder="1" applyAlignment="1">
      <alignment horizontal="center" vertical="center"/>
    </xf>
    <xf numFmtId="3" fontId="84" fillId="34" borderId="44" xfId="0" applyNumberFormat="1" applyFont="1" applyFill="1" applyBorder="1" applyAlignment="1">
      <alignment vertical="top"/>
    </xf>
    <xf numFmtId="3" fontId="84" fillId="34" borderId="117" xfId="0" applyNumberFormat="1" applyFont="1" applyFill="1" applyBorder="1" applyAlignment="1">
      <alignment vertical="top"/>
    </xf>
    <xf numFmtId="171" fontId="84" fillId="34" borderId="117" xfId="0" applyNumberFormat="1" applyFont="1" applyFill="1" applyBorder="1" applyAlignment="1">
      <alignment vertical="top"/>
    </xf>
    <xf numFmtId="171" fontId="84" fillId="34" borderId="44" xfId="0" applyNumberFormat="1" applyFont="1" applyFill="1" applyBorder="1" applyAlignment="1">
      <alignment vertical="center"/>
    </xf>
    <xf numFmtId="171" fontId="84" fillId="34" borderId="117" xfId="0" applyNumberFormat="1" applyFont="1" applyFill="1" applyBorder="1" applyAlignment="1">
      <alignment vertical="center"/>
    </xf>
    <xf numFmtId="3" fontId="142" fillId="34" borderId="16" xfId="0" applyNumberFormat="1" applyFont="1" applyFill="1" applyBorder="1" applyAlignment="1">
      <alignment horizontal="center" vertical="center"/>
    </xf>
    <xf numFmtId="0" fontId="161" fillId="34" borderId="17" xfId="0" applyFont="1" applyFill="1" applyBorder="1" applyAlignment="1">
      <alignment horizontal="left" vertical="top" wrapText="1"/>
    </xf>
    <xf numFmtId="4" fontId="142" fillId="34" borderId="16" xfId="0" applyNumberFormat="1" applyFont="1" applyFill="1" applyBorder="1" applyAlignment="1">
      <alignment horizontal="center" vertical="center"/>
    </xf>
    <xf numFmtId="165" fontId="141" fillId="34" borderId="16" xfId="0" applyNumberFormat="1" applyFont="1" applyFill="1" applyBorder="1" applyAlignment="1">
      <alignment horizontal="center" vertical="top"/>
    </xf>
    <xf numFmtId="165" fontId="84" fillId="34" borderId="44" xfId="43" applyNumberFormat="1" applyFont="1" applyFill="1" applyBorder="1" applyAlignment="1">
      <alignment horizontal="center" vertical="top"/>
    </xf>
    <xf numFmtId="165" fontId="84" fillId="34" borderId="117" xfId="43" applyNumberFormat="1" applyFont="1" applyFill="1" applyBorder="1" applyAlignment="1">
      <alignment horizontal="center" vertical="top"/>
    </xf>
    <xf numFmtId="0" fontId="141" fillId="60" borderId="17" xfId="0" applyFont="1" applyFill="1" applyBorder="1" applyAlignment="1">
      <alignment vertical="top" wrapText="1"/>
    </xf>
    <xf numFmtId="171" fontId="65" fillId="60" borderId="44" xfId="0" applyNumberFormat="1" applyFont="1" applyFill="1" applyBorder="1" applyAlignment="1">
      <alignment vertical="center"/>
    </xf>
    <xf numFmtId="171" fontId="65" fillId="60" borderId="117" xfId="0" applyNumberFormat="1" applyFont="1" applyFill="1" applyBorder="1" applyAlignment="1">
      <alignment vertical="center"/>
    </xf>
    <xf numFmtId="0" fontId="141" fillId="59" borderId="17" xfId="0" applyFont="1" applyFill="1" applyBorder="1" applyAlignment="1">
      <alignment horizontal="left" vertical="top" wrapText="1"/>
    </xf>
    <xf numFmtId="0" fontId="141" fillId="59" borderId="17" xfId="0" applyFont="1" applyFill="1" applyBorder="1" applyAlignment="1">
      <alignment vertical="top" wrapText="1"/>
    </xf>
    <xf numFmtId="171" fontId="84" fillId="34" borderId="44" xfId="0" applyNumberFormat="1" applyFont="1" applyFill="1" applyBorder="1" applyAlignment="1">
      <alignment horizontal="center" vertical="top"/>
    </xf>
    <xf numFmtId="171" fontId="84" fillId="34" borderId="117" xfId="0" applyNumberFormat="1" applyFont="1" applyFill="1" applyBorder="1" applyAlignment="1">
      <alignment horizontal="center" vertical="top"/>
    </xf>
    <xf numFmtId="9" fontId="84" fillId="34" borderId="117" xfId="43" applyFont="1" applyFill="1" applyBorder="1" applyAlignment="1">
      <alignment vertical="top"/>
    </xf>
    <xf numFmtId="171" fontId="84" fillId="34" borderId="44" xfId="0" applyNumberFormat="1" applyFont="1" applyFill="1" applyBorder="1" applyAlignment="1"/>
    <xf numFmtId="171" fontId="84" fillId="34" borderId="117" xfId="0" applyNumberFormat="1" applyFont="1" applyFill="1" applyBorder="1" applyAlignment="1"/>
    <xf numFmtId="0" fontId="84" fillId="34" borderId="44" xfId="0" applyFont="1" applyFill="1" applyBorder="1" applyAlignment="1"/>
    <xf numFmtId="0" fontId="90" fillId="34" borderId="11" xfId="0" applyFont="1" applyFill="1" applyBorder="1" applyAlignment="1">
      <alignment wrapText="1"/>
    </xf>
    <xf numFmtId="0" fontId="90" fillId="34" borderId="14" xfId="0" applyFont="1" applyFill="1" applyBorder="1" applyAlignment="1">
      <alignment wrapText="1"/>
    </xf>
    <xf numFmtId="0" fontId="90" fillId="34" borderId="18" xfId="0" applyFont="1" applyFill="1" applyBorder="1" applyAlignment="1">
      <alignment wrapText="1"/>
    </xf>
    <xf numFmtId="0" fontId="90" fillId="34" borderId="16" xfId="0" applyFont="1" applyFill="1" applyBorder="1" applyAlignment="1">
      <alignment wrapText="1"/>
    </xf>
    <xf numFmtId="3" fontId="38" fillId="34" borderId="16" xfId="0" applyNumberFormat="1" applyFont="1" applyFill="1" applyBorder="1" applyAlignment="1"/>
    <xf numFmtId="3" fontId="141" fillId="34" borderId="16" xfId="0" applyNumberFormat="1" applyFont="1" applyFill="1" applyBorder="1" applyAlignment="1"/>
    <xf numFmtId="1" fontId="38" fillId="34" borderId="16" xfId="0" applyNumberFormat="1" applyFont="1" applyFill="1" applyBorder="1" applyAlignment="1">
      <alignment vertical="top"/>
    </xf>
    <xf numFmtId="0" fontId="142" fillId="34" borderId="22" xfId="0" applyFont="1" applyFill="1" applyBorder="1" applyAlignment="1">
      <alignment vertical="top" wrapText="1"/>
    </xf>
    <xf numFmtId="0" fontId="141" fillId="34" borderId="20" xfId="0" applyFont="1" applyFill="1" applyBorder="1" applyAlignment="1">
      <alignment horizontal="center" vertical="top" wrapText="1"/>
    </xf>
    <xf numFmtId="165" fontId="84" fillId="34" borderId="20" xfId="43" applyNumberFormat="1" applyFont="1" applyFill="1" applyBorder="1" applyAlignment="1">
      <alignment horizontal="center" vertical="top"/>
    </xf>
    <xf numFmtId="3" fontId="84" fillId="34" borderId="20" xfId="45" applyNumberFormat="1" applyFont="1" applyFill="1" applyBorder="1" applyAlignment="1">
      <alignment horizontal="center" vertical="top"/>
    </xf>
    <xf numFmtId="0" fontId="145" fillId="35" borderId="137" xfId="0" applyFont="1" applyFill="1" applyBorder="1" applyAlignment="1">
      <alignment horizontal="left" vertical="center"/>
    </xf>
    <xf numFmtId="10" fontId="145" fillId="35" borderId="20" xfId="57" applyNumberFormat="1" applyFont="1" applyFill="1" applyBorder="1" applyAlignment="1">
      <alignment vertical="center"/>
    </xf>
    <xf numFmtId="10" fontId="145" fillId="35" borderId="20" xfId="57" applyNumberFormat="1" applyFont="1" applyFill="1" applyBorder="1" applyAlignment="1">
      <alignment horizontal="right" vertical="center"/>
    </xf>
    <xf numFmtId="0" fontId="142" fillId="34" borderId="20" xfId="0" applyFont="1" applyFill="1" applyBorder="1" applyAlignment="1">
      <alignment vertical="top" wrapText="1"/>
    </xf>
    <xf numFmtId="165" fontId="84" fillId="34" borderId="20" xfId="43" applyNumberFormat="1" applyFont="1" applyFill="1" applyBorder="1" applyAlignment="1">
      <alignment vertical="top"/>
    </xf>
    <xf numFmtId="0" fontId="142" fillId="34" borderId="20" xfId="0" applyFont="1" applyFill="1" applyBorder="1" applyAlignment="1">
      <alignment horizontal="left" vertical="top" wrapText="1"/>
    </xf>
    <xf numFmtId="168" fontId="84" fillId="34" borderId="20" xfId="45" applyNumberFormat="1" applyFont="1" applyFill="1" applyBorder="1" applyAlignment="1">
      <alignment vertical="top"/>
    </xf>
    <xf numFmtId="9" fontId="84" fillId="34" borderId="44" xfId="43" applyNumberFormat="1" applyFont="1" applyFill="1" applyBorder="1" applyAlignment="1">
      <alignment horizontal="right" vertical="center"/>
    </xf>
    <xf numFmtId="9" fontId="84" fillId="34" borderId="117" xfId="43" applyNumberFormat="1" applyFont="1" applyFill="1" applyBorder="1" applyAlignment="1">
      <alignment horizontal="right" vertical="center"/>
    </xf>
    <xf numFmtId="164" fontId="84" fillId="34" borderId="44" xfId="45" applyNumberFormat="1" applyFont="1" applyFill="1" applyBorder="1" applyAlignment="1">
      <alignment horizontal="center"/>
    </xf>
    <xf numFmtId="164" fontId="84" fillId="34" borderId="117" xfId="45" applyNumberFormat="1" applyFont="1" applyFill="1" applyBorder="1" applyAlignment="1">
      <alignment horizontal="center"/>
    </xf>
    <xf numFmtId="0" fontId="148" fillId="59" borderId="20" xfId="0" applyFont="1" applyFill="1" applyBorder="1" applyAlignment="1">
      <alignment horizontal="left" vertical="top" wrapText="1"/>
    </xf>
    <xf numFmtId="0" fontId="145" fillId="35" borderId="137" xfId="0" applyFont="1" applyFill="1" applyBorder="1" applyAlignment="1">
      <alignment horizontal="left" vertical="center" wrapText="1"/>
    </xf>
    <xf numFmtId="168" fontId="70" fillId="33" borderId="20" xfId="45" applyNumberFormat="1" applyFont="1" applyFill="1" applyBorder="1" applyAlignment="1">
      <alignment vertical="top"/>
    </xf>
    <xf numFmtId="3" fontId="70" fillId="33" borderId="20" xfId="0" applyNumberFormat="1" applyFont="1" applyFill="1" applyBorder="1" applyAlignment="1">
      <alignment vertical="top"/>
    </xf>
    <xf numFmtId="171" fontId="70" fillId="33" borderId="20" xfId="0" applyNumberFormat="1" applyFont="1" applyFill="1" applyBorder="1" applyAlignment="1">
      <alignment vertical="top"/>
    </xf>
    <xf numFmtId="0" fontId="70" fillId="33" borderId="20" xfId="0" applyFont="1" applyFill="1" applyBorder="1" applyAlignment="1">
      <alignment vertical="center"/>
    </xf>
    <xf numFmtId="9" fontId="70" fillId="33" borderId="20" xfId="43" applyFont="1" applyFill="1" applyBorder="1" applyAlignment="1">
      <alignment vertical="center"/>
    </xf>
    <xf numFmtId="0" fontId="70" fillId="33" borderId="20" xfId="0" applyFont="1" applyFill="1" applyBorder="1" applyAlignment="1">
      <alignment vertical="top"/>
    </xf>
    <xf numFmtId="168" fontId="147" fillId="33" borderId="20" xfId="45" applyNumberFormat="1" applyFont="1" applyFill="1" applyBorder="1" applyAlignment="1">
      <alignment horizontal="left" vertical="center" wrapText="1"/>
    </xf>
    <xf numFmtId="168" fontId="70" fillId="33" borderId="20" xfId="45" applyNumberFormat="1" applyFont="1" applyFill="1" applyBorder="1" applyAlignment="1">
      <alignment horizontal="center" vertical="center"/>
    </xf>
    <xf numFmtId="171" fontId="70" fillId="33" borderId="20" xfId="0" applyNumberFormat="1" applyFont="1" applyFill="1" applyBorder="1" applyAlignment="1">
      <alignment vertical="center"/>
    </xf>
    <xf numFmtId="171" fontId="70" fillId="33" borderId="20" xfId="0" applyNumberFormat="1" applyFont="1" applyFill="1" applyBorder="1" applyAlignment="1">
      <alignment horizontal="right" vertical="center"/>
    </xf>
    <xf numFmtId="0" fontId="92" fillId="34" borderId="20" xfId="0" applyFont="1" applyFill="1" applyBorder="1" applyAlignment="1">
      <alignment horizontal="center" vertical="top" wrapText="1"/>
    </xf>
    <xf numFmtId="0" fontId="147" fillId="34" borderId="20" xfId="0" applyFont="1" applyFill="1" applyBorder="1" applyAlignment="1">
      <alignment horizontal="right" vertical="top" wrapText="1"/>
    </xf>
    <xf numFmtId="0" fontId="70" fillId="34" borderId="20" xfId="0" applyFont="1" applyFill="1" applyBorder="1" applyAlignment="1">
      <alignment horizontal="left" vertical="top"/>
    </xf>
    <xf numFmtId="10" fontId="70" fillId="34" borderId="20" xfId="57" applyNumberFormat="1" applyFont="1" applyFill="1" applyBorder="1" applyAlignment="1">
      <alignment horizontal="right" vertical="top"/>
    </xf>
    <xf numFmtId="0" fontId="92" fillId="34" borderId="20" xfId="0" applyFont="1" applyFill="1" applyBorder="1" applyAlignment="1">
      <alignment horizontal="left" vertical="top"/>
    </xf>
    <xf numFmtId="3" fontId="92" fillId="34" borderId="20" xfId="0" applyNumberFormat="1" applyFont="1" applyFill="1" applyBorder="1" applyAlignment="1">
      <alignment vertical="center"/>
    </xf>
    <xf numFmtId="0" fontId="70" fillId="34" borderId="20" xfId="0" applyFont="1" applyFill="1" applyBorder="1" applyAlignment="1">
      <alignment horizontal="center" vertical="top" wrapText="1"/>
    </xf>
    <xf numFmtId="0" fontId="70" fillId="34" borderId="20" xfId="0" applyFont="1" applyFill="1" applyBorder="1" applyAlignment="1">
      <alignment horizontal="left" vertical="top" wrapText="1"/>
    </xf>
    <xf numFmtId="3" fontId="70" fillId="34" borderId="20" xfId="0" applyNumberFormat="1" applyFont="1" applyFill="1" applyBorder="1" applyAlignment="1">
      <alignment vertical="center"/>
    </xf>
    <xf numFmtId="3" fontId="70" fillId="34" borderId="20" xfId="0" applyNumberFormat="1" applyFont="1" applyFill="1" applyBorder="1" applyAlignment="1">
      <alignment horizontal="right" vertical="top"/>
    </xf>
    <xf numFmtId="168" fontId="92" fillId="34" borderId="20" xfId="45" applyNumberFormat="1" applyFont="1" applyFill="1" applyBorder="1" applyAlignment="1">
      <alignment horizontal="right" vertical="top"/>
    </xf>
    <xf numFmtId="164" fontId="92" fillId="34" borderId="20" xfId="45" applyNumberFormat="1" applyFont="1" applyFill="1" applyBorder="1" applyAlignment="1">
      <alignment horizontal="right" vertical="top"/>
    </xf>
    <xf numFmtId="0" fontId="147" fillId="34" borderId="20" xfId="0" applyFont="1" applyFill="1" applyBorder="1" applyAlignment="1">
      <alignment horizontal="left" vertical="top" wrapText="1"/>
    </xf>
    <xf numFmtId="168" fontId="70" fillId="34" borderId="20" xfId="45" applyNumberFormat="1" applyFont="1" applyFill="1" applyBorder="1" applyAlignment="1">
      <alignment horizontal="right" vertical="top"/>
    </xf>
    <xf numFmtId="9" fontId="70" fillId="34" borderId="20" xfId="43" applyFont="1" applyFill="1" applyBorder="1" applyAlignment="1">
      <alignment horizontal="right" vertical="top"/>
    </xf>
    <xf numFmtId="0" fontId="147" fillId="34" borderId="60" xfId="0" applyFont="1" applyFill="1" applyBorder="1" applyAlignment="1">
      <alignment horizontal="left" vertical="top" wrapText="1"/>
    </xf>
    <xf numFmtId="0" fontId="147" fillId="34" borderId="22" xfId="0" applyFont="1" applyFill="1" applyBorder="1" applyAlignment="1">
      <alignment horizontal="left" vertical="top" wrapText="1"/>
    </xf>
    <xf numFmtId="0" fontId="148" fillId="34" borderId="20" xfId="0" applyFont="1" applyFill="1" applyBorder="1" applyAlignment="1">
      <alignment horizontal="center" vertical="center" wrapText="1"/>
    </xf>
    <xf numFmtId="0" fontId="70" fillId="34" borderId="20" xfId="0" applyFont="1" applyFill="1" applyBorder="1" applyAlignment="1">
      <alignment horizontal="right" vertical="top"/>
    </xf>
    <xf numFmtId="0" fontId="147" fillId="34" borderId="141" xfId="0" applyFont="1" applyFill="1" applyBorder="1" applyAlignment="1">
      <alignment horizontal="left" vertical="top" wrapText="1"/>
    </xf>
    <xf numFmtId="0" fontId="148" fillId="34" borderId="141" xfId="0" applyFont="1" applyFill="1" applyBorder="1" applyAlignment="1">
      <alignment horizontal="center" vertical="top" wrapText="1"/>
    </xf>
    <xf numFmtId="0" fontId="70" fillId="34" borderId="124" xfId="0" applyFont="1" applyFill="1" applyBorder="1" applyAlignment="1">
      <alignment horizontal="left" vertical="top"/>
    </xf>
    <xf numFmtId="168" fontId="92" fillId="34" borderId="124" xfId="45" applyNumberFormat="1" applyFont="1" applyFill="1" applyBorder="1" applyAlignment="1">
      <alignment horizontal="right" vertical="top"/>
    </xf>
    <xf numFmtId="0" fontId="70" fillId="34" borderId="124" xfId="0" applyFont="1" applyFill="1" applyBorder="1" applyAlignment="1">
      <alignment horizontal="left" vertical="top" wrapText="1"/>
    </xf>
    <xf numFmtId="0" fontId="92" fillId="34" borderId="124" xfId="0" applyFont="1" applyFill="1" applyBorder="1" applyAlignment="1">
      <alignment horizontal="left" vertical="top"/>
    </xf>
    <xf numFmtId="9" fontId="147" fillId="34" borderId="20" xfId="0" applyNumberFormat="1" applyFont="1" applyFill="1" applyBorder="1" applyAlignment="1">
      <alignment horizontal="right" vertical="top"/>
    </xf>
    <xf numFmtId="2" fontId="147" fillId="34" borderId="20" xfId="0" applyNumberFormat="1" applyFont="1" applyFill="1" applyBorder="1" applyAlignment="1">
      <alignment horizontal="right" vertical="top"/>
    </xf>
    <xf numFmtId="168" fontId="147" fillId="34" borderId="20" xfId="45" applyNumberFormat="1" applyFont="1" applyFill="1" applyBorder="1" applyAlignment="1">
      <alignment horizontal="right" vertical="top"/>
    </xf>
    <xf numFmtId="171" fontId="70" fillId="34" borderId="20" xfId="0" applyNumberFormat="1" applyFont="1" applyFill="1" applyBorder="1" applyAlignment="1">
      <alignment horizontal="right" vertical="top"/>
    </xf>
    <xf numFmtId="0" fontId="147" fillId="34" borderId="124" xfId="0" applyFont="1" applyFill="1" applyBorder="1" applyAlignment="1">
      <alignment horizontal="left" vertical="top" wrapText="1"/>
    </xf>
    <xf numFmtId="0" fontId="148" fillId="34" borderId="124" xfId="0" applyFont="1" applyFill="1" applyBorder="1" applyAlignment="1">
      <alignment horizontal="right" vertical="top" wrapText="1"/>
    </xf>
    <xf numFmtId="168" fontId="70" fillId="34" borderId="124" xfId="45" applyNumberFormat="1" applyFont="1" applyFill="1" applyBorder="1" applyAlignment="1">
      <alignment horizontal="right" vertical="top"/>
    </xf>
    <xf numFmtId="0" fontId="148" fillId="36" borderId="17" xfId="0" applyFont="1" applyFill="1" applyBorder="1" applyAlignment="1">
      <alignment horizontal="left" vertical="top" wrapText="1"/>
    </xf>
    <xf numFmtId="3" fontId="148" fillId="36" borderId="16" xfId="0" applyNumberFormat="1" applyFont="1" applyFill="1" applyBorder="1" applyAlignment="1">
      <alignment horizontal="right" vertical="top"/>
    </xf>
    <xf numFmtId="0" fontId="70" fillId="0" borderId="142" xfId="0" applyFont="1" applyFill="1" applyBorder="1" applyAlignment="1">
      <alignment horizontal="left" vertical="top"/>
    </xf>
    <xf numFmtId="10" fontId="70" fillId="0" borderId="142" xfId="57" applyNumberFormat="1" applyFont="1" applyFill="1" applyBorder="1" applyAlignment="1">
      <alignment horizontal="right" vertical="top"/>
    </xf>
    <xf numFmtId="0" fontId="70" fillId="0" borderId="143" xfId="0" applyFont="1" applyFill="1" applyBorder="1" applyAlignment="1">
      <alignment horizontal="left" vertical="top"/>
    </xf>
    <xf numFmtId="10" fontId="70" fillId="0" borderId="143" xfId="57" applyNumberFormat="1" applyFont="1" applyFill="1" applyBorder="1" applyAlignment="1">
      <alignment horizontal="right" vertical="top"/>
    </xf>
    <xf numFmtId="3" fontId="70" fillId="0" borderId="143" xfId="0" applyNumberFormat="1" applyFont="1" applyFill="1" applyBorder="1" applyAlignment="1">
      <alignment horizontal="right" vertical="top"/>
    </xf>
    <xf numFmtId="0" fontId="70" fillId="0" borderId="143" xfId="0" applyFont="1" applyFill="1" applyBorder="1" applyAlignment="1">
      <alignment horizontal="left" vertical="top" wrapText="1"/>
    </xf>
    <xf numFmtId="0" fontId="38" fillId="0" borderId="142" xfId="0" applyFont="1" applyFill="1" applyBorder="1" applyAlignment="1">
      <alignment horizontal="left" vertical="top" wrapText="1"/>
    </xf>
    <xf numFmtId="0" fontId="38" fillId="0" borderId="142" xfId="0" applyFont="1" applyFill="1" applyBorder="1" applyAlignment="1">
      <alignment horizontal="right" vertical="top" wrapText="1"/>
    </xf>
    <xf numFmtId="0" fontId="38" fillId="0" borderId="144" xfId="0" applyFont="1" applyFill="1" applyBorder="1" applyAlignment="1">
      <alignment horizontal="right" vertical="top" wrapText="1"/>
    </xf>
    <xf numFmtId="0" fontId="92" fillId="0" borderId="143" xfId="0" applyFont="1" applyFill="1" applyBorder="1" applyAlignment="1">
      <alignment horizontal="left" vertical="top"/>
    </xf>
    <xf numFmtId="10" fontId="92" fillId="0" borderId="143" xfId="57" applyNumberFormat="1" applyFont="1" applyFill="1" applyBorder="1" applyAlignment="1">
      <alignment horizontal="right" vertical="top"/>
    </xf>
    <xf numFmtId="10" fontId="92" fillId="0" borderId="145" xfId="57" applyNumberFormat="1" applyFont="1" applyFill="1" applyBorder="1" applyAlignment="1">
      <alignment horizontal="right" vertical="top"/>
    </xf>
    <xf numFmtId="3" fontId="92" fillId="0" borderId="143" xfId="0" applyNumberFormat="1" applyFont="1" applyFill="1" applyBorder="1" applyAlignment="1">
      <alignment horizontal="right" vertical="top"/>
    </xf>
    <xf numFmtId="3" fontId="92" fillId="0" borderId="145" xfId="0" applyNumberFormat="1" applyFont="1" applyFill="1" applyBorder="1" applyAlignment="1">
      <alignment horizontal="right" vertical="top"/>
    </xf>
    <xf numFmtId="0" fontId="84" fillId="0" borderId="20" xfId="0" applyFont="1" applyFill="1" applyBorder="1" applyAlignment="1">
      <alignment horizontal="right" vertical="top"/>
    </xf>
    <xf numFmtId="3" fontId="84" fillId="0" borderId="20" xfId="0" applyNumberFormat="1" applyFont="1" applyFill="1" applyBorder="1" applyAlignment="1">
      <alignment horizontal="right" vertical="top"/>
    </xf>
    <xf numFmtId="9" fontId="84" fillId="0" borderId="20" xfId="43" applyFont="1" applyFill="1" applyBorder="1" applyAlignment="1">
      <alignment horizontal="right" vertical="top"/>
    </xf>
    <xf numFmtId="0" fontId="38" fillId="0" borderId="20" xfId="0" applyFont="1" applyFill="1" applyBorder="1" applyAlignment="1">
      <alignment horizontal="left" vertical="top" wrapText="1"/>
    </xf>
    <xf numFmtId="0" fontId="90" fillId="0" borderId="20" xfId="0" applyFont="1" applyFill="1" applyBorder="1" applyAlignment="1">
      <alignment horizontal="right" vertical="top" wrapText="1"/>
    </xf>
    <xf numFmtId="1" fontId="38" fillId="0" borderId="20" xfId="0" applyNumberFormat="1" applyFont="1" applyFill="1" applyBorder="1" applyAlignment="1">
      <alignment horizontal="right" vertical="top"/>
    </xf>
    <xf numFmtId="0" fontId="84" fillId="33" borderId="20" xfId="0" applyFont="1" applyFill="1" applyBorder="1" applyAlignment="1">
      <alignment horizontal="right" vertical="top"/>
    </xf>
    <xf numFmtId="3" fontId="84" fillId="33" borderId="20" xfId="0" applyNumberFormat="1" applyFont="1" applyFill="1" applyBorder="1" applyAlignment="1">
      <alignment horizontal="right" vertical="top"/>
    </xf>
    <xf numFmtId="9" fontId="84" fillId="33" borderId="20" xfId="43" applyFont="1" applyFill="1" applyBorder="1" applyAlignment="1">
      <alignment horizontal="right" vertical="top"/>
    </xf>
    <xf numFmtId="9" fontId="38" fillId="0" borderId="20" xfId="0" applyNumberFormat="1" applyFont="1" applyFill="1" applyBorder="1" applyAlignment="1">
      <alignment horizontal="right" vertical="top"/>
    </xf>
    <xf numFmtId="171" fontId="84" fillId="0" borderId="20" xfId="0" applyNumberFormat="1" applyFont="1" applyFill="1" applyBorder="1" applyAlignment="1">
      <alignment horizontal="right" vertical="top"/>
    </xf>
    <xf numFmtId="0" fontId="72" fillId="0" borderId="59" xfId="53" applyFont="1" applyBorder="1" applyAlignment="1">
      <alignment horizontal="left" vertical="top" wrapText="1"/>
    </xf>
    <xf numFmtId="0" fontId="72" fillId="0" borderId="73" xfId="53" applyFont="1" applyBorder="1" applyAlignment="1">
      <alignment horizontal="left" vertical="top" wrapText="1"/>
    </xf>
    <xf numFmtId="0" fontId="72" fillId="0" borderId="74" xfId="53" applyFont="1" applyBorder="1" applyAlignment="1">
      <alignment horizontal="left" vertical="top" wrapText="1"/>
    </xf>
    <xf numFmtId="0" fontId="72" fillId="0" borderId="52" xfId="53" applyFont="1" applyBorder="1" applyAlignment="1">
      <alignment horizontal="left" vertical="top" wrapText="1"/>
    </xf>
    <xf numFmtId="0" fontId="72" fillId="0" borderId="0" xfId="53" applyFont="1" applyBorder="1" applyAlignment="1">
      <alignment horizontal="left" vertical="top" wrapText="1"/>
    </xf>
    <xf numFmtId="0" fontId="72" fillId="0" borderId="54" xfId="53" applyFont="1" applyBorder="1" applyAlignment="1">
      <alignment horizontal="left" vertical="top" wrapText="1"/>
    </xf>
    <xf numFmtId="0" fontId="72" fillId="0" borderId="63" xfId="53" applyFont="1" applyBorder="1" applyAlignment="1">
      <alignment horizontal="left" vertical="top" wrapText="1"/>
    </xf>
    <xf numFmtId="0" fontId="72" fillId="0" borderId="53" xfId="53" applyFont="1" applyBorder="1" applyAlignment="1">
      <alignment horizontal="left" vertical="top" wrapText="1"/>
    </xf>
    <xf numFmtId="0" fontId="72" fillId="0" borderId="64" xfId="53" applyFont="1" applyBorder="1" applyAlignment="1">
      <alignment horizontal="left" vertical="top" wrapText="1"/>
    </xf>
    <xf numFmtId="0" fontId="72" fillId="0" borderId="73" xfId="53" applyNumberFormat="1" applyFont="1" applyBorder="1" applyAlignment="1">
      <alignment vertical="top" wrapText="1"/>
    </xf>
    <xf numFmtId="0" fontId="72" fillId="0" borderId="72" xfId="53" applyNumberFormat="1" applyFont="1" applyBorder="1" applyAlignment="1">
      <alignment vertical="top" wrapText="1"/>
    </xf>
    <xf numFmtId="0" fontId="72" fillId="0" borderId="0" xfId="53" applyNumberFormat="1" applyFont="1" applyBorder="1" applyAlignment="1">
      <alignment vertical="top" wrapText="1"/>
    </xf>
    <xf numFmtId="0" fontId="72" fillId="0" borderId="31" xfId="53" applyNumberFormat="1" applyFont="1" applyBorder="1" applyAlignment="1">
      <alignment vertical="top" wrapText="1"/>
    </xf>
    <xf numFmtId="0" fontId="72" fillId="0" borderId="53" xfId="53" applyNumberFormat="1" applyFont="1" applyBorder="1" applyAlignment="1">
      <alignment vertical="top" wrapText="1"/>
    </xf>
    <xf numFmtId="0" fontId="72" fillId="0" borderId="70" xfId="53" applyNumberFormat="1" applyFont="1" applyBorder="1" applyAlignment="1">
      <alignment vertical="top" wrapText="1"/>
    </xf>
    <xf numFmtId="0" fontId="42" fillId="0" borderId="0" xfId="53" applyFont="1" applyFill="1" applyBorder="1" applyAlignment="1">
      <alignment horizontal="left" vertical="top"/>
    </xf>
    <xf numFmtId="0" fontId="42" fillId="0" borderId="60" xfId="53" applyFont="1" applyFill="1" applyBorder="1" applyAlignment="1">
      <alignment horizontal="left" vertical="top"/>
    </xf>
    <xf numFmtId="0" fontId="42" fillId="0" borderId="61" xfId="53" applyFont="1" applyFill="1" applyBorder="1" applyAlignment="1">
      <alignment horizontal="left" vertical="top"/>
    </xf>
    <xf numFmtId="0" fontId="72" fillId="0" borderId="59" xfId="53" applyFont="1" applyFill="1" applyBorder="1" applyAlignment="1">
      <alignment horizontal="left" vertical="top" wrapText="1"/>
    </xf>
    <xf numFmtId="0" fontId="72" fillId="0" borderId="73" xfId="53" applyFont="1" applyFill="1" applyBorder="1" applyAlignment="1">
      <alignment horizontal="left" vertical="top" wrapText="1"/>
    </xf>
    <xf numFmtId="0" fontId="72" fillId="0" borderId="72" xfId="53" applyFont="1" applyFill="1" applyBorder="1" applyAlignment="1">
      <alignment horizontal="left" vertical="top" wrapText="1"/>
    </xf>
    <xf numFmtId="0" fontId="72" fillId="0" borderId="52" xfId="53" applyFont="1" applyFill="1" applyBorder="1" applyAlignment="1">
      <alignment horizontal="left" vertical="top" wrapText="1"/>
    </xf>
    <xf numFmtId="0" fontId="72" fillId="0" borderId="0" xfId="53" applyFont="1" applyFill="1" applyBorder="1" applyAlignment="1">
      <alignment horizontal="left" vertical="top" wrapText="1"/>
    </xf>
    <xf numFmtId="0" fontId="72" fillId="0" borderId="31" xfId="53" applyFont="1" applyFill="1" applyBorder="1" applyAlignment="1">
      <alignment horizontal="left" vertical="top" wrapText="1"/>
    </xf>
    <xf numFmtId="0" fontId="72" fillId="0" borderId="63" xfId="53" applyFont="1" applyFill="1" applyBorder="1" applyAlignment="1">
      <alignment horizontal="left" vertical="top" wrapText="1"/>
    </xf>
    <xf numFmtId="0" fontId="72" fillId="0" borderId="53" xfId="53" applyFont="1" applyFill="1" applyBorder="1" applyAlignment="1">
      <alignment horizontal="left" vertical="top" wrapText="1"/>
    </xf>
    <xf numFmtId="0" fontId="72" fillId="0" borderId="70" xfId="53" applyFont="1" applyFill="1" applyBorder="1" applyAlignment="1">
      <alignment horizontal="left" vertical="top" wrapText="1"/>
    </xf>
    <xf numFmtId="0" fontId="72" fillId="39" borderId="59" xfId="53" applyFont="1" applyFill="1" applyBorder="1" applyAlignment="1">
      <alignment horizontal="left" vertical="top" wrapText="1"/>
    </xf>
    <xf numFmtId="0" fontId="72" fillId="39" borderId="73" xfId="53" applyFont="1" applyFill="1" applyBorder="1" applyAlignment="1">
      <alignment horizontal="left" vertical="top" wrapText="1"/>
    </xf>
    <xf numFmtId="0" fontId="72" fillId="39" borderId="74" xfId="53" applyFont="1" applyFill="1" applyBorder="1" applyAlignment="1">
      <alignment horizontal="left" vertical="top" wrapText="1"/>
    </xf>
    <xf numFmtId="0" fontId="72" fillId="39" borderId="52" xfId="53" applyFont="1" applyFill="1" applyBorder="1" applyAlignment="1">
      <alignment horizontal="left" vertical="top" wrapText="1"/>
    </xf>
    <xf numFmtId="0" fontId="72" fillId="39" borderId="0" xfId="53" applyFont="1" applyFill="1" applyBorder="1" applyAlignment="1">
      <alignment horizontal="left" vertical="top" wrapText="1"/>
    </xf>
    <xf numFmtId="0" fontId="72" fillId="39" borderId="54" xfId="53" applyFont="1" applyFill="1" applyBorder="1" applyAlignment="1">
      <alignment horizontal="left" vertical="top" wrapText="1"/>
    </xf>
    <xf numFmtId="0" fontId="72" fillId="39" borderId="63" xfId="53" applyFont="1" applyFill="1" applyBorder="1" applyAlignment="1">
      <alignment horizontal="left" vertical="top" wrapText="1"/>
    </xf>
    <xf numFmtId="0" fontId="72" fillId="39" borderId="53" xfId="53" applyFont="1" applyFill="1" applyBorder="1" applyAlignment="1">
      <alignment horizontal="left" vertical="top" wrapText="1"/>
    </xf>
    <xf numFmtId="0" fontId="72" fillId="39" borderId="64" xfId="53" applyFont="1" applyFill="1" applyBorder="1" applyAlignment="1">
      <alignment horizontal="left" vertical="top" wrapText="1"/>
    </xf>
    <xf numFmtId="0" fontId="72" fillId="39" borderId="73" xfId="53" applyNumberFormat="1" applyFont="1" applyFill="1" applyBorder="1" applyAlignment="1">
      <alignment vertical="top" wrapText="1"/>
    </xf>
    <xf numFmtId="0" fontId="72" fillId="39" borderId="72" xfId="53" applyNumberFormat="1" applyFont="1" applyFill="1" applyBorder="1" applyAlignment="1">
      <alignment vertical="top" wrapText="1"/>
    </xf>
    <xf numFmtId="0" fontId="72" fillId="39" borderId="0" xfId="53" applyNumberFormat="1" applyFont="1" applyFill="1" applyBorder="1" applyAlignment="1">
      <alignment vertical="top" wrapText="1"/>
    </xf>
    <xf numFmtId="0" fontId="72" fillId="39" borderId="31" xfId="53" applyNumberFormat="1" applyFont="1" applyFill="1" applyBorder="1" applyAlignment="1">
      <alignment vertical="top" wrapText="1"/>
    </xf>
    <xf numFmtId="0" fontId="72" fillId="39" borderId="53" xfId="53" applyNumberFormat="1" applyFont="1" applyFill="1" applyBorder="1" applyAlignment="1">
      <alignment vertical="top" wrapText="1"/>
    </xf>
    <xf numFmtId="0" fontId="72" fillId="39" borderId="70" xfId="53" applyNumberFormat="1" applyFont="1" applyFill="1" applyBorder="1" applyAlignment="1">
      <alignment vertical="top" wrapText="1"/>
    </xf>
    <xf numFmtId="0" fontId="67" fillId="0" borderId="65" xfId="53" applyFont="1" applyBorder="1" applyAlignment="1">
      <alignment vertical="top" wrapText="1"/>
    </xf>
    <xf numFmtId="0" fontId="67" fillId="0" borderId="69" xfId="53" applyFont="1" applyBorder="1" applyAlignment="1">
      <alignment vertical="top" wrapText="1"/>
    </xf>
    <xf numFmtId="0" fontId="67" fillId="0" borderId="66" xfId="53" applyFont="1" applyBorder="1" applyAlignment="1">
      <alignment vertical="top" wrapText="1"/>
    </xf>
    <xf numFmtId="0" fontId="72" fillId="0" borderId="65" xfId="53" applyFont="1" applyBorder="1" applyAlignment="1">
      <alignment horizontal="center" vertical="top" wrapText="1"/>
    </xf>
    <xf numFmtId="0" fontId="72" fillId="0" borderId="69" xfId="53" applyFont="1" applyBorder="1" applyAlignment="1">
      <alignment horizontal="center" vertical="top" wrapText="1"/>
    </xf>
    <xf numFmtId="0" fontId="72" fillId="0" borderId="66" xfId="53" applyFont="1" applyBorder="1" applyAlignment="1">
      <alignment horizontal="center" vertical="top" wrapText="1"/>
    </xf>
    <xf numFmtId="0" fontId="43" fillId="0" borderId="46" xfId="53" applyFont="1" applyBorder="1" applyAlignment="1">
      <alignment horizontal="left" vertical="top" wrapText="1"/>
    </xf>
    <xf numFmtId="0" fontId="43" fillId="0" borderId="48" xfId="53" applyFont="1" applyBorder="1" applyAlignment="1">
      <alignment horizontal="left" vertical="top" wrapText="1"/>
    </xf>
    <xf numFmtId="0" fontId="43" fillId="0" borderId="87" xfId="53" applyFont="1" applyBorder="1" applyAlignment="1">
      <alignment horizontal="left" vertical="top" wrapText="1"/>
    </xf>
    <xf numFmtId="0" fontId="43" fillId="0" borderId="51" xfId="53" applyFont="1" applyBorder="1" applyAlignment="1">
      <alignment horizontal="left" vertical="top" wrapText="1"/>
    </xf>
    <xf numFmtId="0" fontId="43" fillId="0" borderId="0" xfId="53" applyFont="1" applyBorder="1" applyAlignment="1">
      <alignment horizontal="left" vertical="top" wrapText="1"/>
    </xf>
    <xf numFmtId="0" fontId="43" fillId="0" borderId="86" xfId="53" applyFont="1" applyBorder="1" applyAlignment="1">
      <alignment horizontal="left" vertical="top" wrapText="1"/>
    </xf>
    <xf numFmtId="0" fontId="43" fillId="0" borderId="49" xfId="53" applyFont="1" applyBorder="1" applyAlignment="1">
      <alignment horizontal="left" vertical="top" wrapText="1"/>
    </xf>
    <xf numFmtId="0" fontId="43" fillId="0" borderId="50" xfId="53" applyFont="1" applyBorder="1" applyAlignment="1">
      <alignment horizontal="left" vertical="top" wrapText="1"/>
    </xf>
    <xf numFmtId="0" fontId="43" fillId="0" borderId="82" xfId="53" applyFont="1" applyBorder="1" applyAlignment="1">
      <alignment horizontal="left" vertical="top" wrapText="1"/>
    </xf>
    <xf numFmtId="0" fontId="67" fillId="0" borderId="85" xfId="53" applyFont="1" applyBorder="1" applyAlignment="1">
      <alignment vertical="center" wrapText="1"/>
    </xf>
    <xf numFmtId="0" fontId="67" fillId="0" borderId="84" xfId="53" applyFont="1" applyBorder="1" applyAlignment="1">
      <alignment vertical="center" wrapText="1"/>
    </xf>
    <xf numFmtId="0" fontId="67" fillId="0" borderId="83" xfId="53" applyFont="1" applyBorder="1" applyAlignment="1">
      <alignment vertical="center" wrapText="1"/>
    </xf>
    <xf numFmtId="0" fontId="67" fillId="0" borderId="85" xfId="53" applyFont="1" applyBorder="1" applyAlignment="1">
      <alignment horizontal="center" vertical="center" wrapText="1"/>
    </xf>
    <xf numFmtId="0" fontId="67" fillId="0" borderId="84" xfId="53" applyFont="1" applyBorder="1" applyAlignment="1">
      <alignment horizontal="center" vertical="center" wrapText="1"/>
    </xf>
    <xf numFmtId="0" fontId="67" fillId="0" borderId="83" xfId="53" applyFont="1" applyBorder="1" applyAlignment="1">
      <alignment horizontal="center" vertical="center" wrapText="1"/>
    </xf>
    <xf numFmtId="0" fontId="43" fillId="0" borderId="44" xfId="53" applyFont="1" applyBorder="1" applyAlignment="1">
      <alignment horizontal="left" vertical="center" wrapText="1"/>
    </xf>
    <xf numFmtId="0" fontId="43" fillId="0" borderId="43" xfId="53" applyFont="1" applyBorder="1" applyAlignment="1">
      <alignment horizontal="left" vertical="center" wrapText="1"/>
    </xf>
    <xf numFmtId="0" fontId="43" fillId="0" borderId="45" xfId="53" applyFont="1" applyBorder="1" applyAlignment="1">
      <alignment horizontal="left" vertical="center" wrapText="1"/>
    </xf>
    <xf numFmtId="0" fontId="42" fillId="0" borderId="44" xfId="53" applyFont="1" applyBorder="1" applyAlignment="1">
      <alignment horizontal="center" vertical="center" wrapText="1"/>
    </xf>
    <xf numFmtId="0" fontId="42" fillId="0" borderId="43" xfId="53" applyFont="1" applyBorder="1" applyAlignment="1">
      <alignment horizontal="center" vertical="center" wrapText="1"/>
    </xf>
    <xf numFmtId="0" fontId="42" fillId="40" borderId="49" xfId="53" applyFont="1" applyFill="1" applyBorder="1" applyAlignment="1">
      <alignment horizontal="center" wrapText="1"/>
    </xf>
    <xf numFmtId="0" fontId="42" fillId="40" borderId="50" xfId="53" applyFont="1" applyFill="1" applyBorder="1" applyAlignment="1">
      <alignment horizontal="center" wrapText="1"/>
    </xf>
    <xf numFmtId="0" fontId="42" fillId="40" borderId="46" xfId="53" applyFont="1" applyFill="1" applyBorder="1" applyAlignment="1">
      <alignment horizontal="center"/>
    </xf>
    <xf numFmtId="0" fontId="42" fillId="40" borderId="48" xfId="53" applyFont="1" applyFill="1" applyBorder="1" applyAlignment="1">
      <alignment horizontal="center"/>
    </xf>
    <xf numFmtId="49" fontId="72" fillId="0" borderId="46" xfId="53" applyNumberFormat="1" applyFont="1" applyBorder="1" applyAlignment="1">
      <alignment horizontal="left"/>
    </xf>
    <xf numFmtId="49" fontId="72" fillId="0" borderId="48" xfId="53" applyNumberFormat="1" applyFont="1" applyBorder="1" applyAlignment="1">
      <alignment horizontal="left"/>
    </xf>
    <xf numFmtId="0" fontId="42" fillId="39" borderId="44" xfId="53" applyFont="1" applyFill="1" applyBorder="1" applyAlignment="1">
      <alignment horizontal="center"/>
    </xf>
    <xf numFmtId="0" fontId="42" fillId="39" borderId="43" xfId="53" applyFont="1" applyFill="1" applyBorder="1" applyAlignment="1">
      <alignment horizontal="center"/>
    </xf>
    <xf numFmtId="0" fontId="52" fillId="35" borderId="32" xfId="0" applyFont="1" applyFill="1" applyBorder="1" applyAlignment="1">
      <alignment horizontal="left" vertical="top" wrapText="1"/>
    </xf>
    <xf numFmtId="0" fontId="50" fillId="35" borderId="33" xfId="0" applyFont="1" applyFill="1" applyBorder="1" applyAlignment="1">
      <alignment horizontal="left" vertical="top" wrapText="1"/>
    </xf>
    <xf numFmtId="0" fontId="50" fillId="35" borderId="34" xfId="0" applyFont="1" applyFill="1" applyBorder="1" applyAlignment="1">
      <alignment horizontal="left" vertical="top" wrapText="1"/>
    </xf>
    <xf numFmtId="0" fontId="50" fillId="35" borderId="27" xfId="0" applyFont="1" applyFill="1" applyBorder="1" applyAlignment="1">
      <alignment horizontal="left" vertical="top" wrapText="1"/>
    </xf>
    <xf numFmtId="0" fontId="50" fillId="35" borderId="28" xfId="0" applyFont="1" applyFill="1" applyBorder="1" applyAlignment="1">
      <alignment horizontal="left" vertical="top" wrapText="1"/>
    </xf>
    <xf numFmtId="0" fontId="50" fillId="35" borderId="29" xfId="0" applyFont="1" applyFill="1" applyBorder="1" applyAlignment="1">
      <alignment horizontal="left" vertical="top" wrapText="1"/>
    </xf>
    <xf numFmtId="0" fontId="51" fillId="35" borderId="30" xfId="0" applyFont="1" applyFill="1" applyBorder="1" applyAlignment="1">
      <alignment horizontal="left" vertical="top" wrapText="1"/>
    </xf>
    <xf numFmtId="0" fontId="52" fillId="35" borderId="0" xfId="0" applyFont="1" applyFill="1" applyBorder="1" applyAlignment="1">
      <alignment horizontal="left" vertical="top" wrapText="1"/>
    </xf>
    <xf numFmtId="0" fontId="52" fillId="35" borderId="31" xfId="0" applyFont="1" applyFill="1" applyBorder="1" applyAlignment="1">
      <alignment horizontal="left" vertical="top" wrapText="1"/>
    </xf>
    <xf numFmtId="0" fontId="50" fillId="35" borderId="30" xfId="0" applyFont="1" applyFill="1" applyBorder="1" applyAlignment="1">
      <alignment horizontal="left" vertical="top" wrapText="1"/>
    </xf>
    <xf numFmtId="0" fontId="50" fillId="35" borderId="0" xfId="0" applyFont="1" applyFill="1" applyBorder="1" applyAlignment="1">
      <alignment horizontal="left" vertical="top" wrapText="1"/>
    </xf>
    <xf numFmtId="0" fontId="50" fillId="35" borderId="31" xfId="0" applyFont="1" applyFill="1" applyBorder="1" applyAlignment="1">
      <alignment horizontal="left" vertical="top" wrapText="1"/>
    </xf>
    <xf numFmtId="0" fontId="52" fillId="35" borderId="30" xfId="0" applyFont="1" applyFill="1" applyBorder="1" applyAlignment="1">
      <alignment horizontal="left" vertical="top" wrapText="1"/>
    </xf>
    <xf numFmtId="0" fontId="18" fillId="33" borderId="10" xfId="0" applyFont="1" applyFill="1" applyBorder="1" applyAlignment="1">
      <alignment horizontal="center" vertical="top"/>
    </xf>
    <xf numFmtId="0" fontId="18" fillId="33" borderId="11" xfId="0" applyFont="1" applyFill="1" applyBorder="1" applyAlignment="1">
      <alignment horizontal="center" vertical="top"/>
    </xf>
    <xf numFmtId="0" fontId="18" fillId="33" borderId="14" xfId="0" applyFont="1" applyFill="1" applyBorder="1" applyAlignment="1">
      <alignment horizontal="center" vertical="top"/>
    </xf>
    <xf numFmtId="0" fontId="18" fillId="33" borderId="19" xfId="0" applyFont="1" applyFill="1" applyBorder="1" applyAlignment="1">
      <alignment horizontal="center" vertical="top" wrapText="1"/>
    </xf>
    <xf numFmtId="0" fontId="18" fillId="33" borderId="17" xfId="0" applyFont="1" applyFill="1" applyBorder="1" applyAlignment="1">
      <alignment horizontal="center" vertical="top" wrapText="1"/>
    </xf>
    <xf numFmtId="0" fontId="28" fillId="34" borderId="10" xfId="0" applyFont="1" applyFill="1" applyBorder="1" applyAlignment="1">
      <alignment horizontal="center" vertical="top" wrapText="1"/>
    </xf>
    <xf numFmtId="0" fontId="28" fillId="34" borderId="11" xfId="0" applyFont="1" applyFill="1" applyBorder="1" applyAlignment="1">
      <alignment horizontal="center" vertical="top" wrapText="1"/>
    </xf>
    <xf numFmtId="0" fontId="28" fillId="34" borderId="14" xfId="0" applyFont="1" applyFill="1" applyBorder="1" applyAlignment="1">
      <alignment horizontal="center" vertical="top" wrapText="1"/>
    </xf>
    <xf numFmtId="0" fontId="71" fillId="0" borderId="35" xfId="0" applyFont="1" applyBorder="1" applyAlignment="1">
      <alignment horizontal="center" vertical="center" wrapText="1"/>
    </xf>
    <xf numFmtId="0" fontId="71" fillId="0" borderId="38" xfId="0" applyFont="1" applyBorder="1" applyAlignment="1">
      <alignment horizontal="center" vertical="center" wrapText="1"/>
    </xf>
    <xf numFmtId="0" fontId="71" fillId="0" borderId="40" xfId="0" applyFont="1" applyBorder="1" applyAlignment="1">
      <alignment horizontal="center" vertical="center" wrapText="1"/>
    </xf>
    <xf numFmtId="0" fontId="71" fillId="0" borderId="35" xfId="0" applyFont="1" applyBorder="1" applyAlignment="1">
      <alignment horizontal="center" vertical="top" wrapText="1"/>
    </xf>
    <xf numFmtId="0" fontId="71" fillId="0" borderId="38" xfId="0" applyFont="1" applyBorder="1" applyAlignment="1">
      <alignment horizontal="center" vertical="top" wrapText="1"/>
    </xf>
    <xf numFmtId="0" fontId="71" fillId="0" borderId="40" xfId="0" applyFont="1" applyBorder="1" applyAlignment="1">
      <alignment horizontal="center" vertical="top" wrapText="1"/>
    </xf>
    <xf numFmtId="0" fontId="18" fillId="39" borderId="10" xfId="0" applyFont="1" applyFill="1" applyBorder="1" applyAlignment="1">
      <alignment horizontal="left" vertical="top" wrapText="1"/>
    </xf>
    <xf numFmtId="0" fontId="18" fillId="39" borderId="11" xfId="0" applyFont="1" applyFill="1" applyBorder="1" applyAlignment="1">
      <alignment horizontal="left" vertical="top" wrapText="1"/>
    </xf>
    <xf numFmtId="0" fontId="18" fillId="39" borderId="14" xfId="0" applyFont="1" applyFill="1" applyBorder="1" applyAlignment="1">
      <alignment horizontal="left" vertical="top" wrapText="1"/>
    </xf>
    <xf numFmtId="0" fontId="28" fillId="34" borderId="10" xfId="0" applyFont="1" applyFill="1" applyBorder="1" applyAlignment="1">
      <alignment horizontal="center" vertical="top"/>
    </xf>
    <xf numFmtId="0" fontId="28" fillId="34" borderId="11" xfId="0" applyFont="1" applyFill="1" applyBorder="1" applyAlignment="1">
      <alignment horizontal="center" vertical="top"/>
    </xf>
    <xf numFmtId="0" fontId="28" fillId="34" borderId="14" xfId="0" applyFont="1" applyFill="1" applyBorder="1" applyAlignment="1">
      <alignment horizontal="center" vertical="top"/>
    </xf>
    <xf numFmtId="0" fontId="70" fillId="33" borderId="10" xfId="48" applyNumberFormat="1" applyFont="1" applyFill="1" applyBorder="1" applyAlignment="1">
      <alignment horizontal="center" wrapText="1"/>
    </xf>
    <xf numFmtId="0" fontId="70" fillId="33" borderId="11" xfId="48" applyNumberFormat="1" applyFont="1" applyFill="1" applyBorder="1" applyAlignment="1">
      <alignment horizontal="center" wrapText="1"/>
    </xf>
    <xf numFmtId="9" fontId="18" fillId="39" borderId="10" xfId="0" applyNumberFormat="1" applyFont="1" applyFill="1" applyBorder="1" applyAlignment="1">
      <alignment horizontal="left" vertical="top" wrapText="1"/>
    </xf>
    <xf numFmtId="9" fontId="18" fillId="39" borderId="11" xfId="0" applyNumberFormat="1" applyFont="1" applyFill="1" applyBorder="1" applyAlignment="1">
      <alignment horizontal="left" vertical="top" wrapText="1"/>
    </xf>
    <xf numFmtId="9" fontId="18" fillId="39" borderId="14" xfId="0" applyNumberFormat="1" applyFont="1" applyFill="1" applyBorder="1" applyAlignment="1">
      <alignment horizontal="left" vertical="top" wrapText="1"/>
    </xf>
    <xf numFmtId="0" fontId="28" fillId="39" borderId="10" xfId="0" applyFont="1" applyFill="1" applyBorder="1" applyAlignment="1">
      <alignment horizontal="center" vertical="top"/>
    </xf>
    <xf numFmtId="0" fontId="28" fillId="39" borderId="11" xfId="0" applyFont="1" applyFill="1" applyBorder="1" applyAlignment="1">
      <alignment horizontal="center" vertical="top"/>
    </xf>
    <xf numFmtId="0" fontId="28" fillId="39" borderId="14" xfId="0" applyFont="1" applyFill="1" applyBorder="1" applyAlignment="1">
      <alignment horizontal="center" vertical="top"/>
    </xf>
    <xf numFmtId="9" fontId="18" fillId="34" borderId="10" xfId="0" applyNumberFormat="1" applyFont="1" applyFill="1" applyBorder="1" applyAlignment="1">
      <alignment horizontal="center" vertical="top"/>
    </xf>
    <xf numFmtId="9" fontId="18" fillId="34" borderId="11" xfId="0" applyNumberFormat="1" applyFont="1" applyFill="1" applyBorder="1" applyAlignment="1">
      <alignment horizontal="center" vertical="top"/>
    </xf>
    <xf numFmtId="9" fontId="18" fillId="34" borderId="14" xfId="0" applyNumberFormat="1" applyFont="1" applyFill="1" applyBorder="1" applyAlignment="1">
      <alignment horizontal="center" vertical="top"/>
    </xf>
    <xf numFmtId="0" fontId="18" fillId="39" borderId="10" xfId="0" applyFont="1" applyFill="1" applyBorder="1" applyAlignment="1">
      <alignment horizontal="center" vertical="top"/>
    </xf>
    <xf numFmtId="0" fontId="18" fillId="39" borderId="11" xfId="0" applyFont="1" applyFill="1" applyBorder="1" applyAlignment="1">
      <alignment horizontal="center" vertical="top"/>
    </xf>
    <xf numFmtId="0" fontId="18" fillId="39" borderId="14" xfId="0" applyFont="1" applyFill="1" applyBorder="1" applyAlignment="1">
      <alignment horizontal="center" vertical="top"/>
    </xf>
    <xf numFmtId="9" fontId="28" fillId="44" borderId="10" xfId="0" applyNumberFormat="1" applyFont="1" applyFill="1" applyBorder="1" applyAlignment="1">
      <alignment horizontal="center" vertical="top"/>
    </xf>
    <xf numFmtId="9" fontId="28" fillId="44" borderId="11" xfId="0" applyNumberFormat="1" applyFont="1" applyFill="1" applyBorder="1" applyAlignment="1">
      <alignment horizontal="center" vertical="top"/>
    </xf>
    <xf numFmtId="9" fontId="28" fillId="44" borderId="14" xfId="0" applyNumberFormat="1" applyFont="1" applyFill="1" applyBorder="1" applyAlignment="1">
      <alignment horizontal="center" vertical="top"/>
    </xf>
    <xf numFmtId="0" fontId="28" fillId="33" borderId="10" xfId="0" applyFont="1" applyFill="1" applyBorder="1" applyAlignment="1">
      <alignment horizontal="center" vertical="top" wrapText="1"/>
    </xf>
    <xf numFmtId="0" fontId="28" fillId="33" borderId="11" xfId="0" applyFont="1" applyFill="1" applyBorder="1" applyAlignment="1">
      <alignment horizontal="center" vertical="top" wrapText="1"/>
    </xf>
    <xf numFmtId="0" fontId="28" fillId="33" borderId="14" xfId="0" applyFont="1" applyFill="1" applyBorder="1" applyAlignment="1">
      <alignment horizontal="center" vertical="top" wrapText="1"/>
    </xf>
    <xf numFmtId="0" fontId="18" fillId="33" borderId="10" xfId="0" applyFont="1" applyFill="1" applyBorder="1" applyAlignment="1">
      <alignment horizontal="center" vertical="top" wrapText="1"/>
    </xf>
    <xf numFmtId="0" fontId="18" fillId="33" borderId="11" xfId="0" applyFont="1" applyFill="1" applyBorder="1" applyAlignment="1">
      <alignment horizontal="center" vertical="top" wrapText="1"/>
    </xf>
    <xf numFmtId="0" fontId="18" fillId="33" borderId="14" xfId="0" applyFont="1" applyFill="1" applyBorder="1" applyAlignment="1">
      <alignment horizontal="center" vertical="top" wrapText="1"/>
    </xf>
    <xf numFmtId="0" fontId="28" fillId="39" borderId="10" xfId="0" applyFont="1" applyFill="1" applyBorder="1" applyAlignment="1">
      <alignment horizontal="left" vertical="top" wrapText="1"/>
    </xf>
    <xf numFmtId="0" fontId="28" fillId="39" borderId="11" xfId="0" applyFont="1" applyFill="1" applyBorder="1" applyAlignment="1">
      <alignment horizontal="left" vertical="top" wrapText="1"/>
    </xf>
    <xf numFmtId="0" fontId="28" fillId="39" borderId="14" xfId="0" applyFont="1" applyFill="1" applyBorder="1" applyAlignment="1">
      <alignment horizontal="left" vertical="top" wrapText="1"/>
    </xf>
    <xf numFmtId="0" fontId="42" fillId="40" borderId="49" xfId="0" applyFont="1" applyFill="1" applyBorder="1" applyAlignment="1">
      <alignment horizontal="center" vertical="top" wrapText="1"/>
    </xf>
    <xf numFmtId="0" fontId="42" fillId="40" borderId="50" xfId="0" applyFont="1" applyFill="1" applyBorder="1" applyAlignment="1">
      <alignment horizontal="center" vertical="top" wrapText="1"/>
    </xf>
    <xf numFmtId="0" fontId="43" fillId="39" borderId="46" xfId="0" applyFont="1" applyFill="1" applyBorder="1" applyAlignment="1">
      <alignment horizontal="left" vertical="top" wrapText="1"/>
    </xf>
    <xf numFmtId="0" fontId="43" fillId="39" borderId="48" xfId="0" applyFont="1" applyFill="1" applyBorder="1" applyAlignment="1">
      <alignment horizontal="left" vertical="top" wrapText="1"/>
    </xf>
    <xf numFmtId="0" fontId="43" fillId="39" borderId="51" xfId="0" applyFont="1" applyFill="1" applyBorder="1" applyAlignment="1">
      <alignment horizontal="left" vertical="top" wrapText="1"/>
    </xf>
    <xf numFmtId="0" fontId="43" fillId="39" borderId="0" xfId="0" applyFont="1" applyFill="1" applyBorder="1" applyAlignment="1">
      <alignment horizontal="left" vertical="top" wrapText="1"/>
    </xf>
    <xf numFmtId="0" fontId="43" fillId="39" borderId="49" xfId="0" applyFont="1" applyFill="1" applyBorder="1" applyAlignment="1">
      <alignment horizontal="left" vertical="top" wrapText="1"/>
    </xf>
    <xf numFmtId="0" fontId="43" fillId="39" borderId="50" xfId="0" applyFont="1" applyFill="1" applyBorder="1" applyAlignment="1">
      <alignment horizontal="left" vertical="top" wrapText="1"/>
    </xf>
    <xf numFmtId="0" fontId="48" fillId="44" borderId="55" xfId="0" applyFont="1" applyFill="1" applyBorder="1" applyAlignment="1">
      <alignment horizontal="center" vertical="top" wrapText="1"/>
    </xf>
    <xf numFmtId="0" fontId="48" fillId="44" borderId="57" xfId="0" applyFont="1" applyFill="1" applyBorder="1" applyAlignment="1">
      <alignment horizontal="center" vertical="top" wrapText="1"/>
    </xf>
    <xf numFmtId="0" fontId="42" fillId="39" borderId="44" xfId="0" applyFont="1" applyFill="1" applyBorder="1" applyAlignment="1">
      <alignment horizontal="center" vertical="top"/>
    </xf>
    <xf numFmtId="0" fontId="42" fillId="39" borderId="43" xfId="0" applyFont="1" applyFill="1" applyBorder="1" applyAlignment="1">
      <alignment horizontal="center" vertical="top"/>
    </xf>
    <xf numFmtId="0" fontId="42" fillId="0" borderId="44" xfId="0" applyFont="1" applyBorder="1" applyAlignment="1">
      <alignment horizontal="center" vertical="top" wrapText="1"/>
    </xf>
    <xf numFmtId="0" fontId="42" fillId="0" borderId="43" xfId="0" applyFont="1" applyBorder="1" applyAlignment="1">
      <alignment horizontal="center" vertical="top" wrapText="1"/>
    </xf>
    <xf numFmtId="0" fontId="45" fillId="0" borderId="0" xfId="0" applyFont="1" applyBorder="1" applyAlignment="1">
      <alignment horizontal="center" vertical="top"/>
    </xf>
    <xf numFmtId="0" fontId="45" fillId="0" borderId="54" xfId="0" applyFont="1" applyBorder="1" applyAlignment="1">
      <alignment horizontal="center" vertical="top"/>
    </xf>
    <xf numFmtId="0" fontId="53" fillId="35" borderId="0" xfId="0" applyFont="1" applyFill="1" applyBorder="1" applyAlignment="1">
      <alignment horizontal="center" vertical="top"/>
    </xf>
    <xf numFmtId="0" fontId="53" fillId="35" borderId="54" xfId="0" applyFont="1" applyFill="1" applyBorder="1" applyAlignment="1">
      <alignment horizontal="center" vertical="top"/>
    </xf>
    <xf numFmtId="0" fontId="42" fillId="39" borderId="44" xfId="0" applyFont="1" applyFill="1" applyBorder="1" applyAlignment="1">
      <alignment horizontal="center" vertical="top" wrapText="1"/>
    </xf>
    <xf numFmtId="0" fontId="42" fillId="39" borderId="43" xfId="0" applyFont="1" applyFill="1" applyBorder="1" applyAlignment="1">
      <alignment horizontal="center" vertical="top" wrapText="1"/>
    </xf>
    <xf numFmtId="49" fontId="42" fillId="0" borderId="46" xfId="0" applyNumberFormat="1" applyFont="1" applyFill="1" applyBorder="1" applyAlignment="1">
      <alignment horizontal="center" vertical="top"/>
    </xf>
    <xf numFmtId="49" fontId="42" fillId="0" borderId="48" xfId="0" applyNumberFormat="1" applyFont="1" applyFill="1" applyBorder="1" applyAlignment="1">
      <alignment horizontal="center" vertical="top"/>
    </xf>
    <xf numFmtId="0" fontId="92" fillId="33" borderId="0" xfId="53" applyFont="1" applyFill="1" applyBorder="1" applyAlignment="1">
      <alignment horizontal="left" vertical="top"/>
    </xf>
    <xf numFmtId="0" fontId="70" fillId="33" borderId="124" xfId="53" applyFont="1" applyFill="1" applyBorder="1" applyAlignment="1">
      <alignment horizontal="left" vertical="top" wrapText="1"/>
    </xf>
    <xf numFmtId="0" fontId="70" fillId="33" borderId="124" xfId="53" applyNumberFormat="1" applyFont="1" applyFill="1" applyBorder="1" applyAlignment="1">
      <alignment vertical="top" wrapText="1"/>
    </xf>
    <xf numFmtId="0" fontId="92" fillId="33" borderId="124" xfId="53" applyFont="1" applyFill="1" applyBorder="1" applyAlignment="1">
      <alignment horizontal="center" vertical="top"/>
    </xf>
    <xf numFmtId="0" fontId="92" fillId="33" borderId="125" xfId="53" applyFont="1" applyFill="1" applyBorder="1" applyAlignment="1">
      <alignment horizontal="left" vertical="top"/>
    </xf>
    <xf numFmtId="0" fontId="92" fillId="33" borderId="126" xfId="53" applyFont="1" applyFill="1" applyBorder="1" applyAlignment="1">
      <alignment horizontal="left" vertical="top"/>
    </xf>
    <xf numFmtId="0" fontId="92" fillId="33" borderId="127" xfId="53" applyFont="1" applyFill="1" applyBorder="1" applyAlignment="1">
      <alignment horizontal="left" vertical="top"/>
    </xf>
    <xf numFmtId="0" fontId="92" fillId="33" borderId="128" xfId="53" applyFont="1" applyFill="1" applyBorder="1" applyAlignment="1">
      <alignment horizontal="left" vertical="top"/>
    </xf>
    <xf numFmtId="0" fontId="92" fillId="33" borderId="129" xfId="53" applyFont="1" applyFill="1" applyBorder="1" applyAlignment="1">
      <alignment horizontal="left" vertical="top"/>
    </xf>
    <xf numFmtId="0" fontId="92" fillId="33" borderId="130" xfId="53" applyFont="1" applyFill="1" applyBorder="1" applyAlignment="1">
      <alignment horizontal="left" vertical="top"/>
    </xf>
    <xf numFmtId="0" fontId="92" fillId="33" borderId="131" xfId="53" applyFont="1" applyFill="1" applyBorder="1" applyAlignment="1">
      <alignment horizontal="center" vertical="top"/>
    </xf>
    <xf numFmtId="0" fontId="92" fillId="33" borderId="132" xfId="53" applyFont="1" applyFill="1" applyBorder="1" applyAlignment="1">
      <alignment horizontal="center" vertical="top"/>
    </xf>
    <xf numFmtId="0" fontId="92" fillId="33" borderId="133" xfId="53" applyFont="1" applyFill="1" applyBorder="1" applyAlignment="1">
      <alignment horizontal="center" vertical="top"/>
    </xf>
    <xf numFmtId="0" fontId="70" fillId="33" borderId="131" xfId="53" applyFont="1" applyFill="1" applyBorder="1" applyAlignment="1">
      <alignment horizontal="center" vertical="top"/>
    </xf>
    <xf numFmtId="0" fontId="70" fillId="33" borderId="132" xfId="53" applyFont="1" applyFill="1" applyBorder="1" applyAlignment="1">
      <alignment horizontal="center" vertical="top"/>
    </xf>
    <xf numFmtId="0" fontId="70" fillId="33" borderId="133" xfId="53" applyFont="1" applyFill="1" applyBorder="1" applyAlignment="1">
      <alignment horizontal="center" vertical="top"/>
    </xf>
    <xf numFmtId="0" fontId="92" fillId="33" borderId="134" xfId="53" applyFont="1" applyFill="1" applyBorder="1" applyAlignment="1">
      <alignment horizontal="center" vertical="top"/>
    </xf>
    <xf numFmtId="0" fontId="92" fillId="33" borderId="135" xfId="53" applyFont="1" applyFill="1" applyBorder="1" applyAlignment="1">
      <alignment horizontal="center" vertical="top"/>
    </xf>
    <xf numFmtId="0" fontId="92" fillId="33" borderId="136" xfId="53" applyFont="1" applyFill="1" applyBorder="1" applyAlignment="1">
      <alignment horizontal="center" vertical="top"/>
    </xf>
    <xf numFmtId="49" fontId="70" fillId="33" borderId="124" xfId="53" applyNumberFormat="1" applyFont="1" applyFill="1" applyBorder="1" applyAlignment="1">
      <alignment horizontal="center" vertical="top"/>
    </xf>
    <xf numFmtId="0" fontId="18" fillId="0" borderId="10" xfId="0" applyFont="1" applyFill="1" applyBorder="1" applyAlignment="1">
      <alignment horizontal="center" vertical="top"/>
    </xf>
    <xf numFmtId="0" fontId="18" fillId="0" borderId="11" xfId="0" applyFont="1" applyFill="1" applyBorder="1" applyAlignment="1">
      <alignment horizontal="center" vertical="top"/>
    </xf>
    <xf numFmtId="0" fontId="18" fillId="0" borderId="14" xfId="0" applyFont="1" applyFill="1" applyBorder="1" applyAlignment="1">
      <alignment horizontal="center" vertical="top"/>
    </xf>
    <xf numFmtId="0" fontId="18" fillId="0" borderId="19" xfId="0" applyFont="1" applyFill="1" applyBorder="1" applyAlignment="1">
      <alignment horizontal="center" vertical="top" wrapText="1"/>
    </xf>
    <xf numFmtId="0" fontId="18" fillId="0" borderId="17" xfId="0" applyFont="1" applyFill="1" applyBorder="1" applyAlignment="1">
      <alignment horizontal="center" vertical="top" wrapText="1"/>
    </xf>
    <xf numFmtId="0" fontId="28" fillId="0" borderId="10" xfId="0" applyFont="1" applyFill="1" applyBorder="1" applyAlignment="1">
      <alignment horizontal="center" vertical="top" wrapText="1"/>
    </xf>
    <xf numFmtId="0" fontId="28" fillId="0" borderId="11" xfId="0" applyFont="1" applyFill="1" applyBorder="1" applyAlignment="1">
      <alignment horizontal="center" vertical="top" wrapText="1"/>
    </xf>
    <xf numFmtId="0" fontId="28" fillId="0" borderId="14" xfId="0" applyFont="1" applyFill="1" applyBorder="1" applyAlignment="1">
      <alignment horizontal="center" vertical="top" wrapText="1"/>
    </xf>
    <xf numFmtId="0" fontId="48" fillId="0" borderId="55" xfId="0" applyFont="1" applyFill="1" applyBorder="1" applyAlignment="1">
      <alignment horizontal="center" vertical="top" wrapText="1"/>
    </xf>
    <xf numFmtId="0" fontId="48" fillId="0" borderId="57" xfId="0" applyFont="1" applyFill="1" applyBorder="1" applyAlignment="1">
      <alignment horizontal="center" vertical="top" wrapText="1"/>
    </xf>
    <xf numFmtId="0" fontId="18" fillId="59" borderId="10" xfId="0" applyFont="1" applyFill="1" applyBorder="1" applyAlignment="1">
      <alignment horizontal="left" vertical="top" wrapText="1"/>
    </xf>
    <xf numFmtId="0" fontId="18" fillId="59" borderId="11" xfId="0" applyFont="1" applyFill="1" applyBorder="1" applyAlignment="1">
      <alignment horizontal="left" vertical="top" wrapText="1"/>
    </xf>
    <xf numFmtId="0" fontId="18" fillId="59" borderId="14" xfId="0" applyFont="1" applyFill="1" applyBorder="1" applyAlignment="1">
      <alignment horizontal="left" vertical="top" wrapText="1"/>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14" xfId="0" applyFont="1" applyFill="1" applyBorder="1" applyAlignment="1">
      <alignment horizontal="left" vertical="top" wrapText="1"/>
    </xf>
    <xf numFmtId="0" fontId="28" fillId="0" borderId="10" xfId="0" applyFont="1" applyFill="1" applyBorder="1" applyAlignment="1">
      <alignment horizontal="center" vertical="top"/>
    </xf>
    <xf numFmtId="0" fontId="28" fillId="0" borderId="11" xfId="0" applyFont="1" applyFill="1" applyBorder="1" applyAlignment="1">
      <alignment horizontal="center" vertical="top"/>
    </xf>
    <xf numFmtId="0" fontId="28" fillId="0" borderId="14" xfId="0" applyFont="1" applyFill="1" applyBorder="1" applyAlignment="1">
      <alignment horizontal="center" vertical="top"/>
    </xf>
    <xf numFmtId="0" fontId="136" fillId="0" borderId="0" xfId="0" applyFont="1" applyFill="1" applyBorder="1" applyAlignment="1">
      <alignment horizontal="center" vertical="top"/>
    </xf>
    <xf numFmtId="0" fontId="18" fillId="33" borderId="20" xfId="0" applyFont="1" applyFill="1" applyBorder="1" applyAlignment="1">
      <alignment horizontal="center" vertical="center"/>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28" fillId="33" borderId="10" xfId="0"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28" fillId="33" borderId="14" xfId="0" applyFont="1" applyFill="1" applyBorder="1" applyAlignment="1">
      <alignment horizontal="center" vertical="center" wrapText="1"/>
    </xf>
    <xf numFmtId="9" fontId="18" fillId="0" borderId="10" xfId="0" applyNumberFormat="1" applyFont="1" applyFill="1" applyBorder="1" applyAlignment="1">
      <alignment horizontal="left" vertical="top" wrapText="1"/>
    </xf>
    <xf numFmtId="9" fontId="18" fillId="0" borderId="11" xfId="0" applyNumberFormat="1" applyFont="1" applyFill="1" applyBorder="1" applyAlignment="1">
      <alignment horizontal="left" vertical="top" wrapText="1"/>
    </xf>
    <xf numFmtId="9" fontId="18" fillId="0" borderId="14" xfId="0" applyNumberFormat="1" applyFont="1" applyFill="1" applyBorder="1" applyAlignment="1">
      <alignment horizontal="left" vertical="top" wrapText="1"/>
    </xf>
    <xf numFmtId="0" fontId="70" fillId="0" borderId="10" xfId="48" applyNumberFormat="1" applyFont="1" applyFill="1" applyBorder="1" applyAlignment="1">
      <alignment horizontal="center" wrapText="1"/>
    </xf>
    <xf numFmtId="0" fontId="70" fillId="0" borderId="11" xfId="48" applyNumberFormat="1" applyFont="1" applyFill="1" applyBorder="1" applyAlignment="1">
      <alignment horizontal="center" wrapText="1"/>
    </xf>
    <xf numFmtId="9" fontId="28" fillId="0" borderId="10" xfId="0" applyNumberFormat="1" applyFont="1" applyFill="1" applyBorder="1" applyAlignment="1">
      <alignment horizontal="center" vertical="top"/>
    </xf>
    <xf numFmtId="9" fontId="28" fillId="0" borderId="11" xfId="0" applyNumberFormat="1" applyFont="1" applyFill="1" applyBorder="1" applyAlignment="1">
      <alignment horizontal="center" vertical="top"/>
    </xf>
    <xf numFmtId="9" fontId="28" fillId="0" borderId="14" xfId="0" applyNumberFormat="1" applyFont="1" applyFill="1" applyBorder="1" applyAlignment="1">
      <alignment horizontal="center" vertical="top"/>
    </xf>
    <xf numFmtId="49" fontId="18"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4" xfId="0" applyNumberFormat="1" applyFont="1" applyFill="1" applyBorder="1" applyAlignment="1">
      <alignment horizontal="center" vertical="center"/>
    </xf>
    <xf numFmtId="0" fontId="43" fillId="0" borderId="46" xfId="0" applyFont="1" applyFill="1" applyBorder="1" applyAlignment="1">
      <alignment horizontal="left" vertical="top" wrapText="1"/>
    </xf>
    <xf numFmtId="0" fontId="43" fillId="0" borderId="48" xfId="0" applyFont="1" applyFill="1" applyBorder="1" applyAlignment="1">
      <alignment horizontal="left" vertical="top" wrapText="1"/>
    </xf>
    <xf numFmtId="0" fontId="43" fillId="0" borderId="51" xfId="0" applyFont="1" applyFill="1" applyBorder="1" applyAlignment="1">
      <alignment horizontal="left" vertical="top" wrapText="1"/>
    </xf>
    <xf numFmtId="0" fontId="43" fillId="0" borderId="0" xfId="0" applyFont="1" applyFill="1" applyBorder="1" applyAlignment="1">
      <alignment horizontal="left" vertical="top" wrapText="1"/>
    </xf>
    <xf numFmtId="0" fontId="43" fillId="0" borderId="49" xfId="0" applyFont="1" applyFill="1" applyBorder="1" applyAlignment="1">
      <alignment horizontal="left" vertical="top" wrapText="1"/>
    </xf>
    <xf numFmtId="0" fontId="43" fillId="0" borderId="50" xfId="0" applyFont="1" applyFill="1" applyBorder="1" applyAlignment="1">
      <alignment horizontal="left" vertical="top" wrapText="1"/>
    </xf>
    <xf numFmtId="0" fontId="28" fillId="34" borderId="10" xfId="0" applyFont="1" applyFill="1" applyBorder="1" applyAlignment="1">
      <alignment horizontal="left" vertical="top" wrapText="1"/>
    </xf>
    <xf numFmtId="0" fontId="28" fillId="34" borderId="11" xfId="0" applyFont="1" applyFill="1" applyBorder="1" applyAlignment="1">
      <alignment horizontal="left" vertical="top" wrapText="1"/>
    </xf>
    <xf numFmtId="0" fontId="28" fillId="34" borderId="14" xfId="0" applyFont="1" applyFill="1" applyBorder="1" applyAlignment="1">
      <alignment horizontal="left" vertical="top" wrapText="1"/>
    </xf>
    <xf numFmtId="0" fontId="18" fillId="0" borderId="10" xfId="0" applyFont="1" applyFill="1" applyBorder="1" applyAlignment="1">
      <alignment horizontal="center" vertical="top" wrapText="1"/>
    </xf>
    <xf numFmtId="0" fontId="18" fillId="0" borderId="11" xfId="0" applyFont="1" applyFill="1" applyBorder="1" applyAlignment="1">
      <alignment horizontal="center" vertical="top" wrapText="1"/>
    </xf>
    <xf numFmtId="0" fontId="18" fillId="0" borderId="14" xfId="0" applyFont="1" applyFill="1" applyBorder="1" applyAlignment="1">
      <alignment horizontal="center" vertical="top" wrapText="1"/>
    </xf>
    <xf numFmtId="0" fontId="28" fillId="59" borderId="10" xfId="0" applyFont="1" applyFill="1" applyBorder="1" applyAlignment="1">
      <alignment horizontal="left" vertical="center" wrapText="1"/>
    </xf>
    <xf numFmtId="0" fontId="28" fillId="59" borderId="11" xfId="0" applyFont="1" applyFill="1" applyBorder="1" applyAlignment="1">
      <alignment horizontal="left" vertical="center" wrapText="1"/>
    </xf>
    <xf numFmtId="0" fontId="28" fillId="59" borderId="14" xfId="0" applyFont="1" applyFill="1" applyBorder="1" applyAlignment="1">
      <alignment horizontal="left" vertical="center" wrapText="1"/>
    </xf>
    <xf numFmtId="0" fontId="18" fillId="34" borderId="10" xfId="0" applyFont="1" applyFill="1" applyBorder="1" applyAlignment="1">
      <alignment horizontal="left" vertical="top" wrapText="1"/>
    </xf>
    <xf numFmtId="0" fontId="18" fillId="34" borderId="11" xfId="0" applyFont="1" applyFill="1" applyBorder="1" applyAlignment="1">
      <alignment horizontal="left" vertical="top" wrapText="1"/>
    </xf>
    <xf numFmtId="0" fontId="18" fillId="34" borderId="14" xfId="0" applyFont="1" applyFill="1" applyBorder="1" applyAlignment="1">
      <alignment horizontal="left" vertical="top" wrapText="1"/>
    </xf>
    <xf numFmtId="9" fontId="18" fillId="0" borderId="10" xfId="0" applyNumberFormat="1" applyFont="1" applyFill="1" applyBorder="1" applyAlignment="1">
      <alignment horizontal="center" vertical="top"/>
    </xf>
    <xf numFmtId="9" fontId="18" fillId="0" borderId="11" xfId="0" applyNumberFormat="1" applyFont="1" applyFill="1" applyBorder="1" applyAlignment="1">
      <alignment horizontal="center" vertical="top"/>
    </xf>
    <xf numFmtId="9" fontId="18" fillId="0" borderId="14" xfId="0" applyNumberFormat="1" applyFont="1" applyFill="1" applyBorder="1" applyAlignment="1">
      <alignment horizontal="center" vertical="top"/>
    </xf>
    <xf numFmtId="0" fontId="28" fillId="0" borderId="115" xfId="0" applyFont="1" applyFill="1" applyBorder="1" applyAlignment="1">
      <alignment horizontal="center" vertical="top" wrapText="1"/>
    </xf>
    <xf numFmtId="0" fontId="28" fillId="0" borderId="116" xfId="0" applyFont="1" applyFill="1" applyBorder="1" applyAlignment="1">
      <alignment horizontal="center" vertical="top" wrapText="1"/>
    </xf>
    <xf numFmtId="0" fontId="28" fillId="0" borderId="10" xfId="0" applyFont="1" applyFill="1" applyBorder="1" applyAlignment="1">
      <alignment horizontal="left" vertical="top" wrapText="1"/>
    </xf>
    <xf numFmtId="0" fontId="28" fillId="0" borderId="11" xfId="0" applyFont="1" applyFill="1" applyBorder="1" applyAlignment="1">
      <alignment horizontal="left" vertical="top" wrapText="1"/>
    </xf>
    <xf numFmtId="0" fontId="28" fillId="0" borderId="14" xfId="0" applyFont="1" applyFill="1" applyBorder="1" applyAlignment="1">
      <alignment horizontal="left" vertical="top" wrapText="1"/>
    </xf>
    <xf numFmtId="0" fontId="29" fillId="35" borderId="27" xfId="0" applyFont="1" applyFill="1" applyBorder="1" applyAlignment="1">
      <alignment horizontal="left" vertical="center" wrapText="1"/>
    </xf>
    <xf numFmtId="0" fontId="29" fillId="35" borderId="28" xfId="0" applyFont="1" applyFill="1" applyBorder="1" applyAlignment="1">
      <alignment horizontal="left" vertical="center" wrapText="1"/>
    </xf>
    <xf numFmtId="0" fontId="29" fillId="35" borderId="29" xfId="0" applyFont="1" applyFill="1" applyBorder="1" applyAlignment="1">
      <alignment horizontal="left" vertical="center" wrapText="1"/>
    </xf>
    <xf numFmtId="0" fontId="29" fillId="35" borderId="30" xfId="0" applyFont="1" applyFill="1" applyBorder="1" applyAlignment="1">
      <alignment horizontal="left" vertical="center" wrapText="1"/>
    </xf>
    <xf numFmtId="0" fontId="29" fillId="35" borderId="0" xfId="0" applyFont="1" applyFill="1" applyBorder="1" applyAlignment="1">
      <alignment horizontal="left" vertical="center" wrapText="1"/>
    </xf>
    <xf numFmtId="0" fontId="29" fillId="35" borderId="31" xfId="0" applyFont="1" applyFill="1" applyBorder="1" applyAlignment="1">
      <alignment horizontal="left" vertical="center" wrapText="1"/>
    </xf>
    <xf numFmtId="0" fontId="29" fillId="35" borderId="30" xfId="0" applyFont="1" applyFill="1" applyBorder="1" applyAlignment="1">
      <alignment horizontal="left" wrapText="1"/>
    </xf>
    <xf numFmtId="0" fontId="29" fillId="35" borderId="0" xfId="0" applyFont="1" applyFill="1" applyBorder="1" applyAlignment="1">
      <alignment horizontal="left" wrapText="1"/>
    </xf>
    <xf numFmtId="0" fontId="29" fillId="35" borderId="31" xfId="0" applyFont="1" applyFill="1" applyBorder="1" applyAlignment="1">
      <alignment horizontal="left" wrapText="1"/>
    </xf>
    <xf numFmtId="0" fontId="29" fillId="35" borderId="32" xfId="0" applyFont="1" applyFill="1" applyBorder="1" applyAlignment="1">
      <alignment horizontal="left" wrapText="1"/>
    </xf>
    <xf numFmtId="0" fontId="29" fillId="35" borderId="33" xfId="0" applyFont="1" applyFill="1" applyBorder="1" applyAlignment="1">
      <alignment horizontal="left" wrapText="1"/>
    </xf>
    <xf numFmtId="0" fontId="29" fillId="35" borderId="34" xfId="0" applyFont="1" applyFill="1" applyBorder="1" applyAlignment="1">
      <alignment horizontal="left" wrapText="1"/>
    </xf>
    <xf numFmtId="0" fontId="16" fillId="0" borderId="0" xfId="0" applyFont="1" applyAlignment="1">
      <alignment horizontal="center"/>
    </xf>
    <xf numFmtId="0" fontId="34" fillId="35" borderId="0" xfId="0" applyFont="1" applyFill="1" applyAlignment="1">
      <alignment horizontal="center"/>
    </xf>
    <xf numFmtId="0" fontId="83" fillId="0" borderId="44" xfId="53" applyFont="1" applyBorder="1" applyAlignment="1">
      <alignment horizontal="left"/>
    </xf>
    <xf numFmtId="0" fontId="83" fillId="0" borderId="43" xfId="53" applyFont="1" applyBorder="1" applyAlignment="1">
      <alignment horizontal="left"/>
    </xf>
    <xf numFmtId="0" fontId="83" fillId="0" borderId="45" xfId="53" applyFont="1" applyBorder="1" applyAlignment="1">
      <alignment horizontal="left"/>
    </xf>
    <xf numFmtId="0" fontId="82" fillId="39" borderId="46" xfId="53" applyFont="1" applyFill="1" applyBorder="1" applyAlignment="1">
      <alignment horizontal="left" vertical="top" wrapText="1"/>
    </xf>
    <xf numFmtId="0" fontId="82" fillId="39" borderId="48" xfId="53" applyFont="1" applyFill="1" applyBorder="1" applyAlignment="1">
      <alignment horizontal="left" vertical="top" wrapText="1"/>
    </xf>
    <xf numFmtId="0" fontId="82" fillId="39" borderId="87" xfId="53" applyFont="1" applyFill="1" applyBorder="1" applyAlignment="1">
      <alignment horizontal="left" vertical="top" wrapText="1"/>
    </xf>
    <xf numFmtId="0" fontId="82" fillId="39" borderId="51" xfId="53" applyFont="1" applyFill="1" applyBorder="1" applyAlignment="1">
      <alignment horizontal="left" vertical="top" wrapText="1"/>
    </xf>
    <xf numFmtId="0" fontId="82" fillId="39" borderId="0" xfId="53" applyFont="1" applyFill="1" applyBorder="1" applyAlignment="1">
      <alignment horizontal="left" vertical="top" wrapText="1"/>
    </xf>
    <xf numFmtId="0" fontId="82" fillId="39" borderId="86" xfId="53" applyFont="1" applyFill="1" applyBorder="1" applyAlignment="1">
      <alignment horizontal="left" vertical="top" wrapText="1"/>
    </xf>
    <xf numFmtId="0" fontId="82" fillId="39" borderId="49" xfId="53" applyFont="1" applyFill="1" applyBorder="1" applyAlignment="1">
      <alignment horizontal="left" vertical="top" wrapText="1"/>
    </xf>
    <xf numFmtId="0" fontId="82" fillId="39" borderId="50" xfId="53" applyFont="1" applyFill="1" applyBorder="1" applyAlignment="1">
      <alignment horizontal="left" vertical="top" wrapText="1"/>
    </xf>
    <xf numFmtId="0" fontId="82" fillId="39" borderId="82" xfId="53" applyFont="1" applyFill="1" applyBorder="1" applyAlignment="1">
      <alignment horizontal="left" vertical="top" wrapText="1"/>
    </xf>
    <xf numFmtId="0" fontId="82" fillId="0" borderId="46" xfId="53" applyFont="1" applyBorder="1" applyAlignment="1">
      <alignment horizontal="left" vertical="top" wrapText="1"/>
    </xf>
    <xf numFmtId="0" fontId="82" fillId="0" borderId="48" xfId="53" applyFont="1" applyBorder="1" applyAlignment="1">
      <alignment horizontal="left" vertical="top" wrapText="1"/>
    </xf>
    <xf numFmtId="0" fontId="82" fillId="0" borderId="87" xfId="53" applyFont="1" applyBorder="1" applyAlignment="1">
      <alignment horizontal="left" vertical="top" wrapText="1"/>
    </xf>
    <xf numFmtId="0" fontId="82" fillId="0" borderId="51" xfId="53" applyFont="1" applyBorder="1" applyAlignment="1">
      <alignment horizontal="left" vertical="top" wrapText="1"/>
    </xf>
    <xf numFmtId="0" fontId="82" fillId="0" borderId="0" xfId="53" applyFont="1" applyBorder="1" applyAlignment="1">
      <alignment horizontal="left" vertical="top" wrapText="1"/>
    </xf>
    <xf numFmtId="0" fontId="82" fillId="0" borderId="86" xfId="53" applyFont="1" applyBorder="1" applyAlignment="1">
      <alignment horizontal="left" vertical="top" wrapText="1"/>
    </xf>
    <xf numFmtId="0" fontId="82" fillId="0" borderId="49" xfId="53" applyFont="1" applyBorder="1" applyAlignment="1">
      <alignment horizontal="left" vertical="top" wrapText="1"/>
    </xf>
    <xf numFmtId="0" fontId="82" fillId="0" borderId="50" xfId="53" applyFont="1" applyBorder="1" applyAlignment="1">
      <alignment horizontal="left" vertical="top" wrapText="1"/>
    </xf>
    <xf numFmtId="0" fontId="82" fillId="0" borderId="82" xfId="53" applyFont="1" applyBorder="1" applyAlignment="1">
      <alignment horizontal="left" vertical="top" wrapText="1"/>
    </xf>
    <xf numFmtId="0" fontId="33" fillId="0" borderId="85" xfId="53" applyFont="1" applyBorder="1" applyAlignment="1">
      <alignment vertical="center" wrapText="1"/>
    </xf>
    <xf numFmtId="0" fontId="33" fillId="0" borderId="84" xfId="53" applyFont="1" applyBorder="1" applyAlignment="1">
      <alignment vertical="center" wrapText="1"/>
    </xf>
    <xf numFmtId="0" fontId="33" fillId="0" borderId="83" xfId="53" applyFont="1" applyBorder="1" applyAlignment="1">
      <alignment vertical="center" wrapText="1"/>
    </xf>
    <xf numFmtId="0" fontId="82" fillId="0" borderId="85" xfId="53" applyFont="1" applyBorder="1" applyAlignment="1">
      <alignment horizontal="center" vertical="center" wrapText="1"/>
    </xf>
    <xf numFmtId="0" fontId="82" fillId="0" borderId="84" xfId="53" applyFont="1" applyBorder="1" applyAlignment="1">
      <alignment horizontal="center" vertical="center" wrapText="1"/>
    </xf>
    <xf numFmtId="0" fontId="82" fillId="0" borderId="83" xfId="53" applyFont="1" applyBorder="1" applyAlignment="1">
      <alignment horizontal="center" vertical="center" wrapText="1"/>
    </xf>
    <xf numFmtId="0" fontId="16" fillId="0" borderId="0" xfId="0" applyFont="1" applyAlignment="1">
      <alignment horizontal="center" vertical="top"/>
    </xf>
    <xf numFmtId="0" fontId="91" fillId="35" borderId="0" xfId="0" applyFont="1" applyFill="1" applyAlignment="1">
      <alignment horizontal="center" vertical="top"/>
    </xf>
    <xf numFmtId="0" fontId="90" fillId="33" borderId="17" xfId="0" applyFont="1" applyFill="1" applyBorder="1" applyAlignment="1">
      <alignment horizontal="center" vertical="top"/>
    </xf>
    <xf numFmtId="49" fontId="28" fillId="33" borderId="10" xfId="0" applyNumberFormat="1" applyFont="1" applyFill="1" applyBorder="1" applyAlignment="1">
      <alignment horizontal="center" vertical="top"/>
    </xf>
    <xf numFmtId="49" fontId="28" fillId="33" borderId="11" xfId="0" applyNumberFormat="1" applyFont="1" applyFill="1" applyBorder="1" applyAlignment="1">
      <alignment horizontal="center" vertical="top"/>
    </xf>
    <xf numFmtId="49" fontId="28" fillId="33" borderId="14" xfId="0" applyNumberFormat="1" applyFont="1" applyFill="1" applyBorder="1" applyAlignment="1">
      <alignment horizontal="center" vertical="top"/>
    </xf>
    <xf numFmtId="0" fontId="28" fillId="39" borderId="10" xfId="0" applyFont="1" applyFill="1" applyBorder="1" applyAlignment="1">
      <alignment horizontal="center" vertical="center"/>
    </xf>
    <xf numFmtId="0" fontId="28" fillId="39" borderId="11" xfId="0" applyFont="1" applyFill="1" applyBorder="1" applyAlignment="1">
      <alignment horizontal="center" vertical="center"/>
    </xf>
    <xf numFmtId="0" fontId="28" fillId="39" borderId="14" xfId="0" applyFont="1" applyFill="1" applyBorder="1" applyAlignment="1">
      <alignment horizontal="center" vertical="center"/>
    </xf>
    <xf numFmtId="0" fontId="19" fillId="39" borderId="10" xfId="0" applyFont="1" applyFill="1" applyBorder="1" applyAlignment="1">
      <alignment horizontal="left" vertical="top" wrapText="1"/>
    </xf>
    <xf numFmtId="0" fontId="19" fillId="39" borderId="11" xfId="0" applyFont="1" applyFill="1" applyBorder="1" applyAlignment="1">
      <alignment horizontal="left" vertical="top" wrapText="1"/>
    </xf>
    <xf numFmtId="0" fontId="19" fillId="39" borderId="14" xfId="0" applyFont="1" applyFill="1" applyBorder="1" applyAlignment="1">
      <alignment horizontal="left" vertical="top" wrapText="1"/>
    </xf>
    <xf numFmtId="0" fontId="19" fillId="33" borderId="10" xfId="0" applyFont="1" applyFill="1" applyBorder="1" applyAlignment="1">
      <alignment horizontal="center" vertical="top"/>
    </xf>
    <xf numFmtId="0" fontId="19" fillId="33" borderId="11" xfId="0" applyFont="1" applyFill="1" applyBorder="1" applyAlignment="1">
      <alignment horizontal="center" vertical="top"/>
    </xf>
    <xf numFmtId="0" fontId="19" fillId="33" borderId="14" xfId="0" applyFont="1" applyFill="1" applyBorder="1" applyAlignment="1">
      <alignment horizontal="center" vertical="top"/>
    </xf>
    <xf numFmtId="0" fontId="19" fillId="33" borderId="19" xfId="0" applyFont="1" applyFill="1" applyBorder="1" applyAlignment="1">
      <alignment horizontal="center" vertical="top" wrapText="1"/>
    </xf>
    <xf numFmtId="0" fontId="19" fillId="33" borderId="17" xfId="0" applyFont="1" applyFill="1" applyBorder="1" applyAlignment="1">
      <alignment horizontal="center" vertical="top" wrapText="1"/>
    </xf>
    <xf numFmtId="0" fontId="22" fillId="39" borderId="10" xfId="0" applyFont="1" applyFill="1" applyBorder="1" applyAlignment="1">
      <alignment horizontal="left" vertical="top" wrapText="1"/>
    </xf>
    <xf numFmtId="0" fontId="22" fillId="39" borderId="11" xfId="0" applyFont="1" applyFill="1" applyBorder="1" applyAlignment="1">
      <alignment horizontal="left" vertical="top" wrapText="1"/>
    </xf>
    <xf numFmtId="0" fontId="22" fillId="39" borderId="14" xfId="0" applyFont="1" applyFill="1" applyBorder="1" applyAlignment="1">
      <alignment horizontal="left" vertical="top" wrapText="1"/>
    </xf>
    <xf numFmtId="0" fontId="89" fillId="33" borderId="19" xfId="0" applyFont="1" applyFill="1" applyBorder="1" applyAlignment="1">
      <alignment horizontal="center" vertical="top" wrapText="1"/>
    </xf>
    <xf numFmtId="0" fontId="89" fillId="33" borderId="17" xfId="0" applyFont="1" applyFill="1" applyBorder="1" applyAlignment="1">
      <alignment horizontal="center" vertical="top" wrapText="1"/>
    </xf>
    <xf numFmtId="168" fontId="24" fillId="37" borderId="92" xfId="45" applyNumberFormat="1" applyFont="1" applyFill="1" applyBorder="1" applyAlignment="1">
      <alignment horizontal="center" vertical="top" wrapText="1"/>
    </xf>
    <xf numFmtId="168" fontId="24" fillId="37" borderId="91" xfId="45" applyNumberFormat="1" applyFont="1" applyFill="1" applyBorder="1" applyAlignment="1">
      <alignment horizontal="center" vertical="top" wrapText="1"/>
    </xf>
    <xf numFmtId="0" fontId="23" fillId="34" borderId="10" xfId="0" applyFont="1" applyFill="1" applyBorder="1" applyAlignment="1">
      <alignment horizontal="center" vertical="top"/>
    </xf>
    <xf numFmtId="0" fontId="23" fillId="34" borderId="11" xfId="0" applyFont="1" applyFill="1" applyBorder="1" applyAlignment="1">
      <alignment horizontal="center" vertical="top"/>
    </xf>
    <xf numFmtId="0" fontId="23" fillId="34" borderId="14" xfId="0" applyFont="1" applyFill="1" applyBorder="1" applyAlignment="1">
      <alignment horizontal="center" vertical="top"/>
    </xf>
    <xf numFmtId="0" fontId="19" fillId="33" borderId="10" xfId="0" applyFont="1" applyFill="1" applyBorder="1" applyAlignment="1">
      <alignment horizontal="center" vertical="top" wrapText="1"/>
    </xf>
    <xf numFmtId="0" fontId="19" fillId="33" borderId="11" xfId="0" applyFont="1" applyFill="1" applyBorder="1" applyAlignment="1">
      <alignment horizontal="center" vertical="top" wrapText="1"/>
    </xf>
    <xf numFmtId="0" fontId="19" fillId="33" borderId="14" xfId="0" applyFont="1" applyFill="1" applyBorder="1" applyAlignment="1">
      <alignment horizontal="center" vertical="top" wrapText="1"/>
    </xf>
    <xf numFmtId="0" fontId="23" fillId="34" borderId="10" xfId="0" applyFont="1" applyFill="1" applyBorder="1" applyAlignment="1">
      <alignment horizontal="center" vertical="top" wrapText="1"/>
    </xf>
    <xf numFmtId="0" fontId="23" fillId="34" borderId="11" xfId="0" applyFont="1" applyFill="1" applyBorder="1" applyAlignment="1">
      <alignment horizontal="center" vertical="top" wrapText="1"/>
    </xf>
    <xf numFmtId="0" fontId="23" fillId="34" borderId="14" xfId="0" applyFont="1" applyFill="1" applyBorder="1" applyAlignment="1">
      <alignment horizontal="center" vertical="top" wrapText="1"/>
    </xf>
    <xf numFmtId="0" fontId="23" fillId="33" borderId="10" xfId="0" applyFont="1" applyFill="1" applyBorder="1" applyAlignment="1">
      <alignment horizontal="center" vertical="top" wrapText="1"/>
    </xf>
    <xf numFmtId="0" fontId="23" fillId="33" borderId="11" xfId="0" applyFont="1" applyFill="1" applyBorder="1" applyAlignment="1">
      <alignment horizontal="center" vertical="top" wrapText="1"/>
    </xf>
    <xf numFmtId="0" fontId="23" fillId="33" borderId="14" xfId="0" applyFont="1" applyFill="1" applyBorder="1" applyAlignment="1">
      <alignment horizontal="center" vertical="top" wrapText="1"/>
    </xf>
    <xf numFmtId="0" fontId="19" fillId="39" borderId="10" xfId="0" applyFont="1" applyFill="1" applyBorder="1" applyAlignment="1">
      <alignment horizontal="left" vertical="center" wrapText="1"/>
    </xf>
    <xf numFmtId="0" fontId="19" fillId="39" borderId="11" xfId="0" applyFont="1" applyFill="1" applyBorder="1" applyAlignment="1">
      <alignment horizontal="left" vertical="center" wrapText="1"/>
    </xf>
    <xf numFmtId="0" fontId="19" fillId="39" borderId="14" xfId="0" applyFont="1" applyFill="1" applyBorder="1" applyAlignment="1">
      <alignment horizontal="left" vertical="center" wrapText="1"/>
    </xf>
    <xf numFmtId="0" fontId="22" fillId="41" borderId="10" xfId="0" applyFont="1" applyFill="1" applyBorder="1" applyAlignment="1">
      <alignment horizontal="center" vertical="top" wrapText="1"/>
    </xf>
    <xf numFmtId="0" fontId="22" fillId="41" borderId="11" xfId="0" applyFont="1" applyFill="1" applyBorder="1" applyAlignment="1">
      <alignment horizontal="center" vertical="top" wrapText="1"/>
    </xf>
    <xf numFmtId="0" fontId="22" fillId="41" borderId="14" xfId="0" applyFont="1" applyFill="1" applyBorder="1" applyAlignment="1">
      <alignment horizontal="center" vertical="top" wrapText="1"/>
    </xf>
    <xf numFmtId="0" fontId="19" fillId="39" borderId="10" xfId="0" applyFont="1" applyFill="1" applyBorder="1" applyAlignment="1">
      <alignment horizontal="center" vertical="top"/>
    </xf>
    <xf numFmtId="0" fontId="19" fillId="39" borderId="11" xfId="0" applyFont="1" applyFill="1" applyBorder="1" applyAlignment="1">
      <alignment horizontal="center" vertical="top"/>
    </xf>
    <xf numFmtId="0" fontId="19" fillId="39" borderId="14" xfId="0" applyFont="1" applyFill="1" applyBorder="1" applyAlignment="1">
      <alignment horizontal="center" vertical="top"/>
    </xf>
    <xf numFmtId="0" fontId="23" fillId="33" borderId="19" xfId="0" applyFont="1" applyFill="1" applyBorder="1" applyAlignment="1">
      <alignment vertical="top" wrapText="1"/>
    </xf>
    <xf numFmtId="0" fontId="23" fillId="33" borderId="21" xfId="0" applyFont="1" applyFill="1" applyBorder="1" applyAlignment="1">
      <alignment vertical="top" wrapText="1"/>
    </xf>
    <xf numFmtId="0" fontId="23" fillId="33" borderId="17" xfId="0" applyFont="1" applyFill="1" applyBorder="1" applyAlignment="1">
      <alignment vertical="top" wrapText="1"/>
    </xf>
    <xf numFmtId="0" fontId="19" fillId="33" borderId="23" xfId="0" applyFont="1" applyFill="1" applyBorder="1" applyAlignment="1">
      <alignment horizontal="left" vertical="top" wrapText="1"/>
    </xf>
    <xf numFmtId="0" fontId="19" fillId="33" borderId="12" xfId="0" applyFont="1" applyFill="1" applyBorder="1" applyAlignment="1">
      <alignment horizontal="left" vertical="top" wrapText="1"/>
    </xf>
    <xf numFmtId="0" fontId="19" fillId="33" borderId="15" xfId="0" applyFont="1" applyFill="1" applyBorder="1" applyAlignment="1">
      <alignment horizontal="left" vertical="top" wrapText="1"/>
    </xf>
    <xf numFmtId="0" fontId="19" fillId="33" borderId="24" xfId="0" applyFont="1" applyFill="1" applyBorder="1" applyAlignment="1">
      <alignment horizontal="left" vertical="top" wrapText="1"/>
    </xf>
    <xf numFmtId="0" fontId="19" fillId="33" borderId="0" xfId="0" applyFont="1" applyFill="1" applyBorder="1" applyAlignment="1">
      <alignment horizontal="left" vertical="top" wrapText="1"/>
    </xf>
    <xf numFmtId="0" fontId="19" fillId="33" borderId="18" xfId="0" applyFont="1" applyFill="1" applyBorder="1" applyAlignment="1">
      <alignment horizontal="left" vertical="top" wrapText="1"/>
    </xf>
    <xf numFmtId="0" fontId="19" fillId="33" borderId="22" xfId="0" applyFont="1" applyFill="1" applyBorder="1" applyAlignment="1">
      <alignment horizontal="left" vertical="top" wrapText="1"/>
    </xf>
    <xf numFmtId="0" fontId="19" fillId="33" borderId="13" xfId="0" applyFont="1" applyFill="1" applyBorder="1" applyAlignment="1">
      <alignment horizontal="left" vertical="top" wrapText="1"/>
    </xf>
    <xf numFmtId="0" fontId="19" fillId="33" borderId="16" xfId="0" applyFont="1" applyFill="1" applyBorder="1" applyAlignment="1">
      <alignment horizontal="left" vertical="top" wrapText="1"/>
    </xf>
    <xf numFmtId="0" fontId="30" fillId="34" borderId="10" xfId="0" applyFont="1" applyFill="1" applyBorder="1" applyAlignment="1">
      <alignment horizontal="center" vertical="top"/>
    </xf>
    <xf numFmtId="0" fontId="30" fillId="34" borderId="11" xfId="0" applyFont="1" applyFill="1" applyBorder="1" applyAlignment="1">
      <alignment horizontal="center" vertical="top"/>
    </xf>
    <xf numFmtId="0" fontId="30" fillId="34" borderId="14" xfId="0" applyFont="1" applyFill="1" applyBorder="1" applyAlignment="1">
      <alignment horizontal="center" vertical="top"/>
    </xf>
    <xf numFmtId="0" fontId="39" fillId="34" borderId="10" xfId="0" applyFont="1" applyFill="1" applyBorder="1" applyAlignment="1">
      <alignment horizontal="center" vertical="top"/>
    </xf>
    <xf numFmtId="0" fontId="39" fillId="34" borderId="11" xfId="0" applyFont="1" applyFill="1" applyBorder="1" applyAlignment="1">
      <alignment horizontal="center" vertical="top"/>
    </xf>
    <xf numFmtId="0" fontId="39" fillId="34" borderId="14" xfId="0" applyFont="1" applyFill="1" applyBorder="1" applyAlignment="1">
      <alignment horizontal="center" vertical="top"/>
    </xf>
    <xf numFmtId="3" fontId="21" fillId="0" borderId="90" xfId="0" applyNumberFormat="1" applyFont="1" applyBorder="1" applyAlignment="1">
      <alignment horizontal="center" vertical="top" wrapText="1"/>
    </xf>
    <xf numFmtId="3" fontId="21" fillId="0" borderId="89" xfId="0" applyNumberFormat="1" applyFont="1" applyBorder="1" applyAlignment="1">
      <alignment horizontal="center" vertical="top" wrapText="1"/>
    </xf>
    <xf numFmtId="3" fontId="21" fillId="0" borderId="88" xfId="0" applyNumberFormat="1" applyFont="1" applyBorder="1" applyAlignment="1">
      <alignment horizontal="center" vertical="top" wrapText="1"/>
    </xf>
    <xf numFmtId="0" fontId="19" fillId="39" borderId="10" xfId="0" applyFont="1" applyFill="1" applyBorder="1" applyAlignment="1">
      <alignment horizontal="center" vertical="center"/>
    </xf>
    <xf numFmtId="0" fontId="19" fillId="39" borderId="11" xfId="0" applyFont="1" applyFill="1" applyBorder="1" applyAlignment="1">
      <alignment horizontal="center" vertical="center"/>
    </xf>
    <xf numFmtId="0" fontId="19" fillId="39" borderId="14" xfId="0" applyFont="1" applyFill="1" applyBorder="1" applyAlignment="1">
      <alignment horizontal="center" vertical="center"/>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4" xfId="0" applyFont="1" applyFill="1" applyBorder="1" applyAlignment="1">
      <alignment horizontal="center" vertical="center"/>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4" xfId="0" applyFont="1" applyFill="1" applyBorder="1" applyAlignment="1">
      <alignment horizontal="center" vertical="center" wrapText="1"/>
    </xf>
    <xf numFmtId="3" fontId="18" fillId="0" borderId="10" xfId="0" applyNumberFormat="1" applyFont="1" applyBorder="1" applyAlignment="1">
      <alignment horizontal="left" vertical="top" wrapText="1"/>
    </xf>
    <xf numFmtId="3" fontId="18" fillId="0" borderId="11" xfId="0" applyNumberFormat="1" applyFont="1" applyBorder="1" applyAlignment="1">
      <alignment horizontal="left" vertical="top" wrapText="1"/>
    </xf>
    <xf numFmtId="3" fontId="18" fillId="0" borderId="14" xfId="0" applyNumberFormat="1" applyFont="1" applyBorder="1" applyAlignment="1">
      <alignment horizontal="left" vertical="top" wrapText="1"/>
    </xf>
    <xf numFmtId="0" fontId="19" fillId="39" borderId="10" xfId="0" applyFont="1" applyFill="1" applyBorder="1" applyAlignment="1">
      <alignment horizontal="left" vertical="top"/>
    </xf>
    <xf numFmtId="0" fontId="19" fillId="39" borderId="11" xfId="0" applyFont="1" applyFill="1" applyBorder="1" applyAlignment="1">
      <alignment horizontal="left" vertical="top"/>
    </xf>
    <xf numFmtId="0" fontId="19" fillId="39" borderId="14" xfId="0" applyFont="1" applyFill="1" applyBorder="1" applyAlignment="1">
      <alignment horizontal="left" vertical="top"/>
    </xf>
    <xf numFmtId="0" fontId="67" fillId="35" borderId="30" xfId="0" applyFont="1" applyFill="1" applyBorder="1" applyAlignment="1">
      <alignment horizontal="left" vertical="top" wrapText="1"/>
    </xf>
    <xf numFmtId="0" fontId="85" fillId="35" borderId="0" xfId="0" applyFont="1" applyFill="1" applyBorder="1" applyAlignment="1">
      <alignment horizontal="left" vertical="top" wrapText="1"/>
    </xf>
    <xf numFmtId="0" fontId="85" fillId="35" borderId="31" xfId="0" applyFont="1" applyFill="1" applyBorder="1" applyAlignment="1">
      <alignment horizontal="left" vertical="top" wrapText="1"/>
    </xf>
    <xf numFmtId="0" fontId="68" fillId="35" borderId="30" xfId="0" applyFont="1" applyFill="1" applyBorder="1" applyAlignment="1">
      <alignment horizontal="left" vertical="top" wrapText="1"/>
    </xf>
    <xf numFmtId="0" fontId="68" fillId="35" borderId="0" xfId="0" applyFont="1" applyFill="1" applyBorder="1" applyAlignment="1">
      <alignment horizontal="left" vertical="top" wrapText="1"/>
    </xf>
    <xf numFmtId="0" fontId="68" fillId="35" borderId="31" xfId="0" applyFont="1" applyFill="1" applyBorder="1" applyAlignment="1">
      <alignment horizontal="left" vertical="top" wrapText="1"/>
    </xf>
    <xf numFmtId="0" fontId="85" fillId="35" borderId="30" xfId="0" applyFont="1" applyFill="1" applyBorder="1" applyAlignment="1">
      <alignment horizontal="left" vertical="top" wrapText="1"/>
    </xf>
    <xf numFmtId="0" fontId="85" fillId="35" borderId="32" xfId="0" applyFont="1" applyFill="1" applyBorder="1" applyAlignment="1">
      <alignment horizontal="left" vertical="top" wrapText="1"/>
    </xf>
    <xf numFmtId="0" fontId="68" fillId="35" borderId="33" xfId="0" applyFont="1" applyFill="1" applyBorder="1" applyAlignment="1">
      <alignment horizontal="left" vertical="top" wrapText="1"/>
    </xf>
    <xf numFmtId="0" fontId="68" fillId="35" borderId="34" xfId="0" applyFont="1" applyFill="1" applyBorder="1" applyAlignment="1">
      <alignment horizontal="left" vertical="top" wrapText="1"/>
    </xf>
    <xf numFmtId="0" fontId="36" fillId="0" borderId="44" xfId="0" applyFont="1" applyBorder="1" applyAlignment="1">
      <alignment horizontal="center" vertical="center"/>
    </xf>
    <xf numFmtId="0" fontId="36" fillId="0" borderId="43" xfId="0" applyFont="1" applyBorder="1" applyAlignment="1">
      <alignment horizontal="center" vertical="center"/>
    </xf>
    <xf numFmtId="0" fontId="36" fillId="0" borderId="45" xfId="0" applyFont="1" applyBorder="1" applyAlignment="1">
      <alignment horizontal="center" vertical="center"/>
    </xf>
    <xf numFmtId="0" fontId="35" fillId="0" borderId="35" xfId="0" applyFont="1" applyBorder="1" applyAlignment="1">
      <alignment horizontal="center" vertical="top" wrapText="1"/>
    </xf>
    <xf numFmtId="0" fontId="35" fillId="0" borderId="38" xfId="0" applyFont="1" applyBorder="1" applyAlignment="1">
      <alignment horizontal="center" vertical="top" wrapText="1"/>
    </xf>
    <xf numFmtId="0" fontId="35" fillId="0" borderId="40" xfId="0" applyFont="1" applyBorder="1" applyAlignment="1">
      <alignment horizontal="center" vertical="top" wrapText="1"/>
    </xf>
    <xf numFmtId="0" fontId="68" fillId="35" borderId="27" xfId="0" applyFont="1" applyFill="1" applyBorder="1" applyAlignment="1">
      <alignment horizontal="left" vertical="top" wrapText="1"/>
    </xf>
    <xf numFmtId="0" fontId="68" fillId="35" borderId="28" xfId="0" applyFont="1" applyFill="1" applyBorder="1" applyAlignment="1">
      <alignment horizontal="left" vertical="top" wrapText="1"/>
    </xf>
    <xf numFmtId="0" fontId="68" fillId="35" borderId="29" xfId="0" applyFont="1" applyFill="1" applyBorder="1" applyAlignment="1">
      <alignment horizontal="left" vertical="top" wrapText="1"/>
    </xf>
    <xf numFmtId="0" fontId="142" fillId="34" borderId="10" xfId="0" applyFont="1" applyFill="1" applyBorder="1" applyAlignment="1">
      <alignment horizontal="left" vertical="top" wrapText="1"/>
    </xf>
    <xf numFmtId="0" fontId="142" fillId="34" borderId="11" xfId="0" applyFont="1" applyFill="1" applyBorder="1" applyAlignment="1">
      <alignment horizontal="left" vertical="top" wrapText="1"/>
    </xf>
    <xf numFmtId="0" fontId="142" fillId="34" borderId="14" xfId="0" applyFont="1" applyFill="1" applyBorder="1" applyAlignment="1">
      <alignment horizontal="left" vertical="top" wrapText="1"/>
    </xf>
    <xf numFmtId="0" fontId="142" fillId="34" borderId="10" xfId="0" applyFont="1" applyFill="1" applyBorder="1" applyAlignment="1">
      <alignment horizontal="center" vertical="top"/>
    </xf>
    <xf numFmtId="0" fontId="142" fillId="34" borderId="11" xfId="0" applyFont="1" applyFill="1" applyBorder="1" applyAlignment="1">
      <alignment horizontal="center" vertical="top"/>
    </xf>
    <xf numFmtId="0" fontId="142" fillId="34" borderId="14" xfId="0" applyFont="1" applyFill="1" applyBorder="1" applyAlignment="1">
      <alignment horizontal="center" vertical="top"/>
    </xf>
    <xf numFmtId="0" fontId="142" fillId="34" borderId="19" xfId="0" applyFont="1" applyFill="1" applyBorder="1" applyAlignment="1">
      <alignment horizontal="center" vertical="top" wrapText="1"/>
    </xf>
    <xf numFmtId="0" fontId="142" fillId="34" borderId="17" xfId="0" applyFont="1" applyFill="1" applyBorder="1" applyAlignment="1">
      <alignment horizontal="center" vertical="top" wrapText="1"/>
    </xf>
    <xf numFmtId="0" fontId="142" fillId="59" borderId="10" xfId="0" applyFont="1" applyFill="1" applyBorder="1" applyAlignment="1">
      <alignment horizontal="center" vertical="top" wrapText="1"/>
    </xf>
    <xf numFmtId="0" fontId="142" fillId="59" borderId="11" xfId="0" applyFont="1" applyFill="1" applyBorder="1" applyAlignment="1">
      <alignment horizontal="center" vertical="top" wrapText="1"/>
    </xf>
    <xf numFmtId="0" fontId="142" fillId="59" borderId="14" xfId="0" applyFont="1" applyFill="1" applyBorder="1" applyAlignment="1">
      <alignment horizontal="center" vertical="top" wrapText="1"/>
    </xf>
    <xf numFmtId="0" fontId="142" fillId="34" borderId="10" xfId="0" applyFont="1" applyFill="1" applyBorder="1" applyAlignment="1">
      <alignment horizontal="left" vertical="center" wrapText="1"/>
    </xf>
    <xf numFmtId="0" fontId="142" fillId="34" borderId="11" xfId="0" applyFont="1" applyFill="1" applyBorder="1" applyAlignment="1">
      <alignment horizontal="left" vertical="center" wrapText="1"/>
    </xf>
    <xf numFmtId="0" fontId="142" fillId="34" borderId="14" xfId="0" applyFont="1" applyFill="1" applyBorder="1" applyAlignment="1">
      <alignment horizontal="left" vertical="center" wrapText="1"/>
    </xf>
    <xf numFmtId="0" fontId="141" fillId="34" borderId="10" xfId="0" applyFont="1" applyFill="1" applyBorder="1" applyAlignment="1">
      <alignment horizontal="left" vertical="top" wrapText="1"/>
    </xf>
    <xf numFmtId="0" fontId="141" fillId="34" borderId="11" xfId="0" applyFont="1" applyFill="1" applyBorder="1" applyAlignment="1">
      <alignment horizontal="left" vertical="top" wrapText="1"/>
    </xf>
    <xf numFmtId="3" fontId="142" fillId="34" borderId="90" xfId="0" applyNumberFormat="1" applyFont="1" applyFill="1" applyBorder="1" applyAlignment="1">
      <alignment horizontal="center" vertical="top" wrapText="1"/>
    </xf>
    <xf numFmtId="3" fontId="142" fillId="34" borderId="89" xfId="0" applyNumberFormat="1" applyFont="1" applyFill="1" applyBorder="1" applyAlignment="1">
      <alignment horizontal="center" vertical="top" wrapText="1"/>
    </xf>
    <xf numFmtId="3" fontId="142" fillId="34" borderId="88" xfId="0" applyNumberFormat="1" applyFont="1" applyFill="1" applyBorder="1" applyAlignment="1">
      <alignment horizontal="center" vertical="top" wrapText="1"/>
    </xf>
    <xf numFmtId="0" fontId="141" fillId="34" borderId="10" xfId="0" applyFont="1" applyFill="1" applyBorder="1" applyAlignment="1">
      <alignment horizontal="center" vertical="top"/>
    </xf>
    <xf numFmtId="0" fontId="141" fillId="34" borderId="11" xfId="0" applyFont="1" applyFill="1" applyBorder="1" applyAlignment="1">
      <alignment horizontal="center" vertical="top"/>
    </xf>
    <xf numFmtId="0" fontId="141" fillId="34" borderId="14" xfId="0" applyFont="1" applyFill="1" applyBorder="1" applyAlignment="1">
      <alignment horizontal="center" vertical="top"/>
    </xf>
    <xf numFmtId="0" fontId="141" fillId="34" borderId="10" xfId="0" applyFont="1" applyFill="1" applyBorder="1" applyAlignment="1">
      <alignment horizontal="center" vertical="top" wrapText="1"/>
    </xf>
    <xf numFmtId="0" fontId="141" fillId="34" borderId="11" xfId="0" applyFont="1" applyFill="1" applyBorder="1" applyAlignment="1">
      <alignment horizontal="center" vertical="top" wrapText="1"/>
    </xf>
    <xf numFmtId="0" fontId="141" fillId="34" borderId="14" xfId="0" applyFont="1" applyFill="1" applyBorder="1" applyAlignment="1">
      <alignment horizontal="center" vertical="top" wrapText="1"/>
    </xf>
    <xf numFmtId="0" fontId="141" fillId="34" borderId="19" xfId="0" applyFont="1" applyFill="1" applyBorder="1" applyAlignment="1">
      <alignment vertical="top" wrapText="1"/>
    </xf>
    <xf numFmtId="0" fontId="141" fillId="34" borderId="21" xfId="0" applyFont="1" applyFill="1" applyBorder="1" applyAlignment="1">
      <alignment vertical="top" wrapText="1"/>
    </xf>
    <xf numFmtId="0" fontId="141" fillId="34" borderId="17" xfId="0" applyFont="1" applyFill="1" applyBorder="1" applyAlignment="1">
      <alignment vertical="top" wrapText="1"/>
    </xf>
    <xf numFmtId="0" fontId="142" fillId="34" borderId="23" xfId="0" applyFont="1" applyFill="1" applyBorder="1" applyAlignment="1">
      <alignment horizontal="left" vertical="top" wrapText="1"/>
    </xf>
    <xf numFmtId="0" fontId="142" fillId="34" borderId="12" xfId="0" applyFont="1" applyFill="1" applyBorder="1" applyAlignment="1">
      <alignment horizontal="left" vertical="top" wrapText="1"/>
    </xf>
    <xf numFmtId="0" fontId="142" fillId="34" borderId="15" xfId="0" applyFont="1" applyFill="1" applyBorder="1" applyAlignment="1">
      <alignment horizontal="left" vertical="top" wrapText="1"/>
    </xf>
    <xf numFmtId="0" fontId="142" fillId="34" borderId="24" xfId="0" applyFont="1" applyFill="1" applyBorder="1" applyAlignment="1">
      <alignment horizontal="left" vertical="top" wrapText="1"/>
    </xf>
    <xf numFmtId="0" fontId="142" fillId="34" borderId="0" xfId="0" applyFont="1" applyFill="1" applyBorder="1" applyAlignment="1">
      <alignment horizontal="left" vertical="top" wrapText="1"/>
    </xf>
    <xf numFmtId="0" fontId="142" fillId="34" borderId="18" xfId="0" applyFont="1" applyFill="1" applyBorder="1" applyAlignment="1">
      <alignment horizontal="left" vertical="top" wrapText="1"/>
    </xf>
    <xf numFmtId="0" fontId="142" fillId="34" borderId="22" xfId="0" applyFont="1" applyFill="1" applyBorder="1" applyAlignment="1">
      <alignment horizontal="left" vertical="top" wrapText="1"/>
    </xf>
    <xf numFmtId="0" fontId="142" fillId="34" borderId="13" xfId="0" applyFont="1" applyFill="1" applyBorder="1" applyAlignment="1">
      <alignment horizontal="left" vertical="top" wrapText="1"/>
    </xf>
    <xf numFmtId="0" fontId="142" fillId="34" borderId="16" xfId="0" applyFont="1" applyFill="1" applyBorder="1" applyAlignment="1">
      <alignment horizontal="left" vertical="top" wrapText="1"/>
    </xf>
    <xf numFmtId="0" fontId="146" fillId="34" borderId="10" xfId="0" applyFont="1" applyFill="1" applyBorder="1" applyAlignment="1">
      <alignment horizontal="center" vertical="top"/>
    </xf>
    <xf numFmtId="0" fontId="146" fillId="34" borderId="11" xfId="0" applyFont="1" applyFill="1" applyBorder="1" applyAlignment="1">
      <alignment horizontal="center" vertical="top"/>
    </xf>
    <xf numFmtId="0" fontId="146" fillId="34" borderId="14" xfId="0" applyFont="1" applyFill="1" applyBorder="1" applyAlignment="1">
      <alignment horizontal="center" vertical="top"/>
    </xf>
    <xf numFmtId="0" fontId="142" fillId="34" borderId="10" xfId="0" applyFont="1" applyFill="1" applyBorder="1" applyAlignment="1">
      <alignment horizontal="center" vertical="top" wrapText="1"/>
    </xf>
    <xf numFmtId="0" fontId="142" fillId="34" borderId="11" xfId="0" applyFont="1" applyFill="1" applyBorder="1" applyAlignment="1">
      <alignment horizontal="center" vertical="top" wrapText="1"/>
    </xf>
    <xf numFmtId="0" fontId="142" fillId="34" borderId="14" xfId="0" applyFont="1" applyFill="1" applyBorder="1" applyAlignment="1">
      <alignment horizontal="center" vertical="top" wrapText="1"/>
    </xf>
    <xf numFmtId="0" fontId="143" fillId="34" borderId="0" xfId="0" applyFont="1" applyFill="1" applyAlignment="1">
      <alignment horizontal="center" vertical="top"/>
    </xf>
    <xf numFmtId="0" fontId="142" fillId="59" borderId="10" xfId="0" applyFont="1" applyFill="1" applyBorder="1" applyAlignment="1">
      <alignment horizontal="left" vertical="top" wrapText="1"/>
    </xf>
    <xf numFmtId="0" fontId="142" fillId="59" borderId="11" xfId="0" applyFont="1" applyFill="1" applyBorder="1" applyAlignment="1">
      <alignment horizontal="left" vertical="top" wrapText="1"/>
    </xf>
    <xf numFmtId="0" fontId="142" fillId="59" borderId="14" xfId="0" applyFont="1" applyFill="1" applyBorder="1" applyAlignment="1">
      <alignment horizontal="left" vertical="top" wrapText="1"/>
    </xf>
    <xf numFmtId="168" fontId="144" fillId="34" borderId="23" xfId="45" applyNumberFormat="1" applyFont="1" applyFill="1" applyBorder="1" applyAlignment="1">
      <alignment horizontal="center" vertical="top" wrapText="1"/>
    </xf>
    <xf numFmtId="168" fontId="144" fillId="34" borderId="12" xfId="45" applyNumberFormat="1" applyFont="1" applyFill="1" applyBorder="1" applyAlignment="1">
      <alignment horizontal="center" vertical="top" wrapText="1"/>
    </xf>
    <xf numFmtId="168" fontId="144" fillId="34" borderId="15" xfId="45" applyNumberFormat="1" applyFont="1" applyFill="1" applyBorder="1" applyAlignment="1">
      <alignment horizontal="center" vertical="top" wrapText="1"/>
    </xf>
    <xf numFmtId="0" fontId="141" fillId="34" borderId="20" xfId="0" applyFont="1" applyFill="1" applyBorder="1" applyAlignment="1">
      <alignment horizontal="center" vertical="top"/>
    </xf>
    <xf numFmtId="49" fontId="141" fillId="34" borderId="10" xfId="0" applyNumberFormat="1" applyFont="1" applyFill="1" applyBorder="1" applyAlignment="1">
      <alignment horizontal="center" vertical="top"/>
    </xf>
    <xf numFmtId="49" fontId="141" fillId="34" borderId="11" xfId="0" applyNumberFormat="1" applyFont="1" applyFill="1" applyBorder="1" applyAlignment="1">
      <alignment horizontal="center" vertical="top"/>
    </xf>
    <xf numFmtId="49" fontId="141" fillId="34" borderId="14" xfId="0" applyNumberFormat="1" applyFont="1" applyFill="1" applyBorder="1" applyAlignment="1">
      <alignment horizontal="center" vertical="top"/>
    </xf>
    <xf numFmtId="0" fontId="141" fillId="34" borderId="10" xfId="0" applyFont="1" applyFill="1" applyBorder="1" applyAlignment="1">
      <alignment horizontal="center" vertical="center"/>
    </xf>
    <xf numFmtId="0" fontId="141" fillId="34" borderId="11" xfId="0" applyFont="1" applyFill="1" applyBorder="1" applyAlignment="1">
      <alignment horizontal="center" vertical="center"/>
    </xf>
    <xf numFmtId="0" fontId="141" fillId="34" borderId="14" xfId="0" applyFont="1" applyFill="1" applyBorder="1" applyAlignment="1">
      <alignment horizontal="center" vertical="center"/>
    </xf>
    <xf numFmtId="0" fontId="141" fillId="34" borderId="10" xfId="0" applyFont="1" applyFill="1" applyBorder="1" applyAlignment="1">
      <alignment horizontal="center" vertical="center" wrapText="1"/>
    </xf>
    <xf numFmtId="0" fontId="141" fillId="34" borderId="11" xfId="0" applyFont="1" applyFill="1" applyBorder="1" applyAlignment="1">
      <alignment horizontal="center" vertical="center" wrapText="1"/>
    </xf>
    <xf numFmtId="0" fontId="141" fillId="34" borderId="14" xfId="0" applyFont="1" applyFill="1" applyBorder="1" applyAlignment="1">
      <alignment horizontal="center" vertical="center" wrapText="1"/>
    </xf>
    <xf numFmtId="3" fontId="142" fillId="34" borderId="10" xfId="0" applyNumberFormat="1" applyFont="1" applyFill="1" applyBorder="1" applyAlignment="1">
      <alignment horizontal="left" vertical="top" wrapText="1"/>
    </xf>
    <xf numFmtId="3" fontId="142" fillId="34" borderId="11" xfId="0" applyNumberFormat="1" applyFont="1" applyFill="1" applyBorder="1" applyAlignment="1">
      <alignment horizontal="left" vertical="top" wrapText="1"/>
    </xf>
    <xf numFmtId="3" fontId="142" fillId="34" borderId="14" xfId="0" applyNumberFormat="1" applyFont="1" applyFill="1" applyBorder="1" applyAlignment="1">
      <alignment horizontal="left" vertical="top" wrapText="1"/>
    </xf>
    <xf numFmtId="0" fontId="141" fillId="59" borderId="10" xfId="0" applyFont="1" applyFill="1" applyBorder="1" applyAlignment="1">
      <alignment horizontal="left" vertical="top"/>
    </xf>
    <xf numFmtId="0" fontId="141" fillId="59" borderId="11" xfId="0" applyFont="1" applyFill="1" applyBorder="1" applyAlignment="1">
      <alignment horizontal="left" vertical="top"/>
    </xf>
    <xf numFmtId="0" fontId="141" fillId="59" borderId="14" xfId="0" applyFont="1" applyFill="1" applyBorder="1" applyAlignment="1">
      <alignment horizontal="left" vertical="top"/>
    </xf>
    <xf numFmtId="0" fontId="141" fillId="34" borderId="23" xfId="0" applyFont="1" applyFill="1" applyBorder="1" applyAlignment="1">
      <alignment horizontal="center" vertical="top" wrapText="1"/>
    </xf>
    <xf numFmtId="0" fontId="141" fillId="34" borderId="22" xfId="0" applyFont="1" applyFill="1" applyBorder="1" applyAlignment="1">
      <alignment horizontal="center" vertical="top" wrapText="1"/>
    </xf>
    <xf numFmtId="0" fontId="97" fillId="33" borderId="19" xfId="0" applyFont="1" applyFill="1" applyBorder="1" applyAlignment="1">
      <alignment horizontal="center" vertical="top" wrapText="1"/>
    </xf>
    <xf numFmtId="0" fontId="97" fillId="33" borderId="17" xfId="0" applyFont="1" applyFill="1" applyBorder="1" applyAlignment="1">
      <alignment horizontal="center" vertical="top" wrapText="1"/>
    </xf>
    <xf numFmtId="0" fontId="22" fillId="41" borderId="10" xfId="0" applyFont="1" applyFill="1" applyBorder="1" applyAlignment="1">
      <alignment horizontal="left" vertical="top" wrapText="1"/>
    </xf>
    <xf numFmtId="0" fontId="22" fillId="41" borderId="11" xfId="0" applyFont="1" applyFill="1" applyBorder="1" applyAlignment="1">
      <alignment horizontal="left" vertical="top" wrapText="1"/>
    </xf>
    <xf numFmtId="0" fontId="22" fillId="41" borderId="14" xfId="0" applyFont="1" applyFill="1" applyBorder="1" applyAlignment="1">
      <alignment horizontal="left" vertical="top" wrapText="1"/>
    </xf>
    <xf numFmtId="0" fontId="93" fillId="33" borderId="19" xfId="0" applyFont="1" applyFill="1" applyBorder="1" applyAlignment="1">
      <alignment horizontal="center" vertical="top" wrapText="1"/>
    </xf>
    <xf numFmtId="0" fontId="93" fillId="33" borderId="17" xfId="0" applyFont="1" applyFill="1" applyBorder="1" applyAlignment="1">
      <alignment horizontal="center" vertical="top" wrapText="1"/>
    </xf>
    <xf numFmtId="0" fontId="97" fillId="33" borderId="19" xfId="0" applyFont="1" applyFill="1" applyBorder="1" applyAlignment="1">
      <alignment vertical="top" wrapText="1"/>
    </xf>
    <xf numFmtId="0" fontId="97" fillId="33" borderId="21" xfId="0" applyFont="1" applyFill="1" applyBorder="1" applyAlignment="1">
      <alignment vertical="top" wrapText="1"/>
    </xf>
    <xf numFmtId="0" fontId="97" fillId="33" borderId="17" xfId="0" applyFont="1" applyFill="1" applyBorder="1" applyAlignment="1">
      <alignment vertical="top" wrapText="1"/>
    </xf>
    <xf numFmtId="0" fontId="43" fillId="39" borderId="46" xfId="53" applyFont="1" applyFill="1" applyBorder="1" applyAlignment="1">
      <alignment horizontal="left" vertical="top" wrapText="1"/>
    </xf>
    <xf numFmtId="0" fontId="43" fillId="39" borderId="48" xfId="53" applyFont="1" applyFill="1" applyBorder="1" applyAlignment="1">
      <alignment horizontal="left" vertical="top" wrapText="1"/>
    </xf>
    <xf numFmtId="0" fontId="43" fillId="39" borderId="87" xfId="53" applyFont="1" applyFill="1" applyBorder="1" applyAlignment="1">
      <alignment horizontal="left" vertical="top" wrapText="1"/>
    </xf>
    <xf numFmtId="0" fontId="43" fillId="39" borderId="51" xfId="53" applyFont="1" applyFill="1" applyBorder="1" applyAlignment="1">
      <alignment horizontal="left" vertical="top" wrapText="1"/>
    </xf>
    <xf numFmtId="0" fontId="43" fillId="39" borderId="0" xfId="53" applyFont="1" applyFill="1" applyBorder="1" applyAlignment="1">
      <alignment horizontal="left" vertical="top" wrapText="1"/>
    </xf>
    <xf numFmtId="0" fontId="43" fillId="39" borderId="86" xfId="53" applyFont="1" applyFill="1" applyBorder="1" applyAlignment="1">
      <alignment horizontal="left" vertical="top" wrapText="1"/>
    </xf>
    <xf numFmtId="0" fontId="43" fillId="39" borderId="49" xfId="53" applyFont="1" applyFill="1" applyBorder="1" applyAlignment="1">
      <alignment horizontal="left" vertical="top" wrapText="1"/>
    </xf>
    <xf numFmtId="0" fontId="43" fillId="39" borderId="50" xfId="53" applyFont="1" applyFill="1" applyBorder="1" applyAlignment="1">
      <alignment horizontal="left" vertical="top" wrapText="1"/>
    </xf>
    <xf numFmtId="0" fontId="43" fillId="39" borderId="82" xfId="53" applyFont="1" applyFill="1" applyBorder="1" applyAlignment="1">
      <alignment horizontal="left" vertical="top" wrapText="1"/>
    </xf>
    <xf numFmtId="0" fontId="72" fillId="0" borderId="85" xfId="53" applyFont="1" applyBorder="1" applyAlignment="1">
      <alignment horizontal="center" vertical="center" wrapText="1"/>
    </xf>
    <xf numFmtId="0" fontId="72" fillId="0" borderId="84" xfId="53" applyFont="1" applyBorder="1" applyAlignment="1">
      <alignment horizontal="center" vertical="center" wrapText="1"/>
    </xf>
    <xf numFmtId="0" fontId="72" fillId="0" borderId="83" xfId="53" applyFont="1" applyBorder="1" applyAlignment="1">
      <alignment horizontal="center" vertical="center" wrapText="1"/>
    </xf>
    <xf numFmtId="0" fontId="92" fillId="0" borderId="44" xfId="53" applyFont="1" applyBorder="1" applyAlignment="1">
      <alignment horizontal="left"/>
    </xf>
    <xf numFmtId="0" fontId="92" fillId="0" borderId="43" xfId="53" applyFont="1" applyBorder="1" applyAlignment="1">
      <alignment horizontal="left"/>
    </xf>
    <xf numFmtId="0" fontId="92" fillId="0" borderId="45" xfId="53" applyFont="1" applyBorder="1" applyAlignment="1">
      <alignment horizontal="left"/>
    </xf>
    <xf numFmtId="0" fontId="97" fillId="0" borderId="0" xfId="0" applyFont="1" applyAlignment="1">
      <alignment horizontal="center"/>
    </xf>
    <xf numFmtId="0" fontId="83" fillId="35" borderId="0" xfId="0" applyFont="1" applyFill="1" applyAlignment="1">
      <alignment horizontal="center"/>
    </xf>
    <xf numFmtId="0" fontId="97" fillId="33" borderId="20" xfId="0" applyFont="1" applyFill="1" applyBorder="1" applyAlignment="1">
      <alignment horizontal="center" vertical="center"/>
    </xf>
    <xf numFmtId="49" fontId="97" fillId="33" borderId="10" xfId="0" applyNumberFormat="1" applyFont="1" applyFill="1" applyBorder="1" applyAlignment="1">
      <alignment horizontal="center" vertical="center"/>
    </xf>
    <xf numFmtId="49" fontId="97" fillId="33" borderId="11" xfId="0" applyNumberFormat="1" applyFont="1" applyFill="1" applyBorder="1" applyAlignment="1">
      <alignment horizontal="center" vertical="center"/>
    </xf>
    <xf numFmtId="49" fontId="97" fillId="33" borderId="14" xfId="0" applyNumberFormat="1" applyFont="1" applyFill="1" applyBorder="1" applyAlignment="1">
      <alignment horizontal="center" vertical="center"/>
    </xf>
    <xf numFmtId="0" fontId="97" fillId="33" borderId="10" xfId="0" applyFont="1" applyFill="1" applyBorder="1" applyAlignment="1">
      <alignment horizontal="center" vertical="center" wrapText="1"/>
    </xf>
    <xf numFmtId="0" fontId="97" fillId="33" borderId="11" xfId="0" applyFont="1" applyFill="1" applyBorder="1" applyAlignment="1">
      <alignment horizontal="center" vertical="center" wrapText="1"/>
    </xf>
    <xf numFmtId="0" fontId="97" fillId="33" borderId="14" xfId="0" applyFont="1" applyFill="1" applyBorder="1" applyAlignment="1">
      <alignment horizontal="center" vertical="center" wrapText="1"/>
    </xf>
    <xf numFmtId="0" fontId="97" fillId="0" borderId="10" xfId="0" applyFont="1" applyBorder="1" applyAlignment="1">
      <alignment horizontal="center"/>
    </xf>
    <xf numFmtId="0" fontId="97" fillId="0" borderId="11" xfId="0" applyFont="1" applyBorder="1" applyAlignment="1">
      <alignment horizontal="center"/>
    </xf>
    <xf numFmtId="0" fontId="97" fillId="0" borderId="14" xfId="0" applyFont="1" applyBorder="1" applyAlignment="1">
      <alignment horizontal="center"/>
    </xf>
    <xf numFmtId="0" fontId="97" fillId="34" borderId="10" xfId="0" applyFont="1" applyFill="1" applyBorder="1" applyAlignment="1">
      <alignment horizontal="center" vertical="center"/>
    </xf>
    <xf numFmtId="0" fontId="97" fillId="34" borderId="11" xfId="0" applyFont="1" applyFill="1" applyBorder="1" applyAlignment="1">
      <alignment horizontal="center" vertical="center"/>
    </xf>
    <xf numFmtId="0" fontId="97" fillId="34" borderId="14" xfId="0" applyFont="1" applyFill="1" applyBorder="1" applyAlignment="1">
      <alignment horizontal="center" vertical="center"/>
    </xf>
    <xf numFmtId="0" fontId="93" fillId="39" borderId="10" xfId="0" applyFont="1" applyFill="1" applyBorder="1" applyAlignment="1">
      <alignment horizontal="center" vertical="center" wrapText="1"/>
    </xf>
    <xf numFmtId="0" fontId="93" fillId="39" borderId="11" xfId="0" applyFont="1" applyFill="1" applyBorder="1" applyAlignment="1">
      <alignment horizontal="center" vertical="center" wrapText="1"/>
    </xf>
    <xf numFmtId="0" fontId="93" fillId="39" borderId="14" xfId="0" applyFont="1" applyFill="1" applyBorder="1" applyAlignment="1">
      <alignment horizontal="center" vertical="center" wrapText="1"/>
    </xf>
    <xf numFmtId="0" fontId="93" fillId="33" borderId="10" xfId="0" applyFont="1" applyFill="1" applyBorder="1" applyAlignment="1">
      <alignment horizontal="center" vertical="center"/>
    </xf>
    <xf numFmtId="0" fontId="93" fillId="33" borderId="11" xfId="0" applyFont="1" applyFill="1" applyBorder="1" applyAlignment="1">
      <alignment horizontal="center" vertical="center"/>
    </xf>
    <xf numFmtId="0" fontId="93" fillId="33" borderId="14" xfId="0" applyFont="1" applyFill="1" applyBorder="1" applyAlignment="1">
      <alignment horizontal="center" vertical="center"/>
    </xf>
    <xf numFmtId="0" fontId="93" fillId="33" borderId="19" xfId="0" applyFont="1" applyFill="1" applyBorder="1" applyAlignment="1">
      <alignment horizontal="center" vertical="center" wrapText="1"/>
    </xf>
    <xf numFmtId="0" fontId="93" fillId="33" borderId="17" xfId="0" applyFont="1" applyFill="1" applyBorder="1" applyAlignment="1">
      <alignment horizontal="center" vertical="center" wrapText="1"/>
    </xf>
    <xf numFmtId="0" fontId="93" fillId="39" borderId="10" xfId="0" applyFont="1" applyFill="1" applyBorder="1" applyAlignment="1">
      <alignment horizontal="left" vertical="top" wrapText="1"/>
    </xf>
    <xf numFmtId="0" fontId="93" fillId="39" borderId="11" xfId="0" applyFont="1" applyFill="1" applyBorder="1" applyAlignment="1">
      <alignment horizontal="left" vertical="top" wrapText="1"/>
    </xf>
    <xf numFmtId="0" fontId="93" fillId="39" borderId="14" xfId="0" applyFont="1" applyFill="1" applyBorder="1" applyAlignment="1">
      <alignment horizontal="left" vertical="top" wrapText="1"/>
    </xf>
    <xf numFmtId="0" fontId="93" fillId="39" borderId="11" xfId="0" applyFont="1" applyFill="1" applyBorder="1" applyAlignment="1">
      <alignment horizontal="left" vertical="top"/>
    </xf>
    <xf numFmtId="0" fontId="93" fillId="39" borderId="14" xfId="0" applyFont="1" applyFill="1" applyBorder="1" applyAlignment="1">
      <alignment horizontal="left" vertical="top"/>
    </xf>
    <xf numFmtId="0" fontId="93" fillId="33" borderId="10" xfId="0" applyFont="1" applyFill="1" applyBorder="1" applyAlignment="1">
      <alignment horizontal="center" vertical="center" wrapText="1"/>
    </xf>
    <xf numFmtId="0" fontId="93" fillId="33" borderId="11" xfId="0" applyFont="1" applyFill="1" applyBorder="1" applyAlignment="1">
      <alignment horizontal="center" vertical="center" wrapText="1"/>
    </xf>
    <xf numFmtId="0" fontId="93" fillId="33" borderId="14" xfId="0" applyFont="1" applyFill="1" applyBorder="1" applyAlignment="1">
      <alignment horizontal="center" vertical="center" wrapText="1"/>
    </xf>
    <xf numFmtId="0" fontId="93" fillId="39" borderId="10" xfId="0" applyFont="1" applyFill="1" applyBorder="1" applyAlignment="1">
      <alignment horizontal="left" vertical="center" wrapText="1"/>
    </xf>
    <xf numFmtId="0" fontId="93" fillId="39" borderId="11" xfId="0" applyFont="1" applyFill="1" applyBorder="1" applyAlignment="1">
      <alignment horizontal="left" vertical="center" wrapText="1"/>
    </xf>
    <xf numFmtId="0" fontId="93" fillId="39" borderId="14" xfId="0" applyFont="1" applyFill="1" applyBorder="1" applyAlignment="1">
      <alignment horizontal="left" vertical="center" wrapText="1"/>
    </xf>
    <xf numFmtId="0" fontId="93" fillId="33" borderId="23" xfId="0" applyFont="1" applyFill="1" applyBorder="1" applyAlignment="1">
      <alignment horizontal="center" vertical="center" wrapText="1"/>
    </xf>
    <xf numFmtId="0" fontId="93" fillId="33" borderId="12" xfId="0" applyFont="1" applyFill="1" applyBorder="1" applyAlignment="1">
      <alignment horizontal="center" vertical="center" wrapText="1"/>
    </xf>
    <xf numFmtId="0" fontId="93" fillId="33" borderId="15" xfId="0" applyFont="1" applyFill="1" applyBorder="1" applyAlignment="1">
      <alignment horizontal="center" vertical="center" wrapText="1"/>
    </xf>
    <xf numFmtId="0" fontId="97" fillId="39" borderId="10" xfId="0" applyFont="1" applyFill="1" applyBorder="1" applyAlignment="1">
      <alignment horizontal="center" vertical="center"/>
    </xf>
    <xf numFmtId="0" fontId="97" fillId="39" borderId="11" xfId="0" applyFont="1" applyFill="1" applyBorder="1" applyAlignment="1">
      <alignment horizontal="center" vertical="center"/>
    </xf>
    <xf numFmtId="0" fontId="97" fillId="39" borderId="14" xfId="0" applyFont="1" applyFill="1" applyBorder="1" applyAlignment="1">
      <alignment horizontal="center" vertical="center"/>
    </xf>
    <xf numFmtId="0" fontId="97" fillId="34" borderId="10" xfId="0" applyFont="1" applyFill="1" applyBorder="1" applyAlignment="1">
      <alignment horizontal="center" vertical="center" wrapText="1"/>
    </xf>
    <xf numFmtId="0" fontId="97" fillId="34" borderId="11" xfId="0" applyFont="1" applyFill="1" applyBorder="1" applyAlignment="1">
      <alignment horizontal="center" vertical="center" wrapText="1"/>
    </xf>
    <xf numFmtId="0" fontId="97" fillId="34" borderId="14" xfId="0" applyFont="1" applyFill="1" applyBorder="1" applyAlignment="1">
      <alignment horizontal="center" vertical="center" wrapText="1"/>
    </xf>
    <xf numFmtId="0" fontId="93" fillId="0" borderId="10" xfId="0" applyFont="1" applyFill="1" applyBorder="1" applyAlignment="1">
      <alignment horizontal="center" vertical="center" wrapText="1"/>
    </xf>
    <xf numFmtId="0" fontId="93" fillId="0" borderId="11" xfId="0" applyFont="1" applyFill="1" applyBorder="1" applyAlignment="1">
      <alignment horizontal="center" vertical="center" wrapText="1"/>
    </xf>
    <xf numFmtId="0" fontId="93" fillId="0" borderId="14" xfId="0" applyFont="1" applyFill="1" applyBorder="1" applyAlignment="1">
      <alignment horizontal="center" vertical="center" wrapText="1"/>
    </xf>
    <xf numFmtId="0" fontId="56" fillId="0" borderId="35" xfId="0" applyFont="1" applyBorder="1" applyAlignment="1">
      <alignment horizontal="center" vertical="center" wrapText="1"/>
    </xf>
    <xf numFmtId="0" fontId="56" fillId="0" borderId="38" xfId="0" applyFont="1" applyBorder="1" applyAlignment="1">
      <alignment horizontal="center" vertical="center" wrapText="1"/>
    </xf>
    <xf numFmtId="0" fontId="56" fillId="0" borderId="40" xfId="0" applyFont="1" applyBorder="1" applyAlignment="1">
      <alignment horizontal="center" vertical="center" wrapText="1"/>
    </xf>
    <xf numFmtId="0" fontId="93" fillId="39" borderId="10" xfId="0" applyFont="1" applyFill="1" applyBorder="1" applyAlignment="1">
      <alignment horizontal="center" vertical="center"/>
    </xf>
    <xf numFmtId="0" fontId="93" fillId="39" borderId="11" xfId="0" applyFont="1" applyFill="1" applyBorder="1" applyAlignment="1">
      <alignment horizontal="center" vertical="center"/>
    </xf>
    <xf numFmtId="0" fontId="93" fillId="39" borderId="14" xfId="0" applyFont="1" applyFill="1" applyBorder="1" applyAlignment="1">
      <alignment horizontal="center" vertical="center"/>
    </xf>
    <xf numFmtId="0" fontId="95" fillId="35" borderId="32" xfId="0" applyFont="1" applyFill="1" applyBorder="1" applyAlignment="1">
      <alignment horizontal="left" vertical="top" wrapText="1"/>
    </xf>
    <xf numFmtId="0" fontId="94" fillId="35" borderId="33" xfId="0" applyFont="1" applyFill="1" applyBorder="1" applyAlignment="1">
      <alignment horizontal="left" vertical="top" wrapText="1"/>
    </xf>
    <xf numFmtId="0" fontId="94" fillId="35" borderId="34" xfId="0" applyFont="1" applyFill="1" applyBorder="1" applyAlignment="1">
      <alignment horizontal="left" vertical="top" wrapText="1"/>
    </xf>
    <xf numFmtId="3" fontId="66" fillId="46" borderId="113" xfId="0" applyNumberFormat="1" applyFont="1" applyFill="1" applyBorder="1" applyAlignment="1">
      <alignment horizontal="center" vertical="center" wrapText="1"/>
    </xf>
    <xf numFmtId="3" fontId="66" fillId="46" borderId="80" xfId="0" applyNumberFormat="1" applyFont="1" applyFill="1" applyBorder="1" applyAlignment="1">
      <alignment horizontal="center" vertical="center" wrapText="1"/>
    </xf>
    <xf numFmtId="3" fontId="66" fillId="46" borderId="79" xfId="0" applyNumberFormat="1" applyFont="1" applyFill="1" applyBorder="1" applyAlignment="1">
      <alignment horizontal="center" vertical="center" wrapText="1"/>
    </xf>
    <xf numFmtId="0" fontId="94" fillId="35" borderId="27" xfId="0" applyFont="1" applyFill="1" applyBorder="1" applyAlignment="1">
      <alignment horizontal="left" vertical="top" wrapText="1"/>
    </xf>
    <xf numFmtId="0" fontId="94" fillId="35" borderId="28" xfId="0" applyFont="1" applyFill="1" applyBorder="1" applyAlignment="1">
      <alignment horizontal="left" vertical="top" wrapText="1"/>
    </xf>
    <xf numFmtId="0" fontId="94" fillId="35" borderId="29" xfId="0" applyFont="1" applyFill="1" applyBorder="1" applyAlignment="1">
      <alignment horizontal="left" vertical="top" wrapText="1"/>
    </xf>
    <xf numFmtId="0" fontId="96" fillId="35" borderId="30" xfId="0" applyFont="1" applyFill="1" applyBorder="1" applyAlignment="1">
      <alignment horizontal="left" vertical="top" wrapText="1"/>
    </xf>
    <xf numFmtId="0" fontId="95" fillId="35" borderId="0" xfId="0" applyFont="1" applyFill="1" applyBorder="1" applyAlignment="1">
      <alignment horizontal="left" vertical="top" wrapText="1"/>
    </xf>
    <xf numFmtId="0" fontId="95" fillId="35" borderId="31" xfId="0" applyFont="1" applyFill="1" applyBorder="1" applyAlignment="1">
      <alignment horizontal="left" vertical="top" wrapText="1"/>
    </xf>
    <xf numFmtId="0" fontId="94" fillId="35" borderId="30" xfId="0" applyFont="1" applyFill="1" applyBorder="1" applyAlignment="1">
      <alignment horizontal="left" wrapText="1"/>
    </xf>
    <xf numFmtId="0" fontId="94" fillId="35" borderId="0" xfId="0" applyFont="1" applyFill="1" applyBorder="1" applyAlignment="1">
      <alignment horizontal="left" wrapText="1"/>
    </xf>
    <xf numFmtId="0" fontId="94" fillId="35" borderId="31" xfId="0" applyFont="1" applyFill="1" applyBorder="1" applyAlignment="1">
      <alignment horizontal="left" wrapText="1"/>
    </xf>
    <xf numFmtId="0" fontId="95" fillId="35" borderId="30" xfId="0" applyFont="1" applyFill="1" applyBorder="1" applyAlignment="1">
      <alignment horizontal="left" vertical="top" wrapText="1"/>
    </xf>
    <xf numFmtId="0" fontId="94" fillId="35" borderId="0" xfId="0" applyFont="1" applyFill="1" applyBorder="1" applyAlignment="1">
      <alignment horizontal="left" vertical="top" wrapText="1"/>
    </xf>
    <xf numFmtId="0" fontId="94" fillId="35" borderId="31" xfId="0" applyFont="1" applyFill="1" applyBorder="1" applyAlignment="1">
      <alignment horizontal="left" vertical="top" wrapText="1"/>
    </xf>
    <xf numFmtId="0" fontId="36" fillId="0" borderId="44" xfId="42" applyFont="1" applyBorder="1" applyAlignment="1">
      <alignment horizontal="left" vertical="center"/>
    </xf>
    <xf numFmtId="0" fontId="36" fillId="0" borderId="43" xfId="42" applyFont="1" applyBorder="1" applyAlignment="1">
      <alignment horizontal="left" vertical="center"/>
    </xf>
    <xf numFmtId="0" fontId="36" fillId="0" borderId="111" xfId="42" applyFont="1" applyBorder="1" applyAlignment="1">
      <alignment horizontal="left" vertical="center"/>
    </xf>
    <xf numFmtId="0" fontId="36" fillId="0" borderId="44" xfId="42" applyFont="1" applyBorder="1" applyAlignment="1">
      <alignment horizontal="center" vertical="center"/>
    </xf>
    <xf numFmtId="0" fontId="36" fillId="0" borderId="43" xfId="42" applyFont="1" applyBorder="1" applyAlignment="1">
      <alignment horizontal="center" vertical="center"/>
    </xf>
    <xf numFmtId="0" fontId="36" fillId="0" borderId="111" xfId="42" applyFont="1" applyBorder="1" applyAlignment="1">
      <alignment horizontal="center" vertical="center"/>
    </xf>
    <xf numFmtId="0" fontId="147" fillId="33" borderId="19" xfId="0" applyFont="1" applyFill="1" applyBorder="1" applyAlignment="1">
      <alignment horizontal="center" vertical="center" wrapText="1"/>
    </xf>
    <xf numFmtId="0" fontId="147" fillId="33" borderId="17" xfId="0" applyFont="1" applyFill="1" applyBorder="1" applyAlignment="1">
      <alignment horizontal="center" vertical="center" wrapText="1"/>
    </xf>
    <xf numFmtId="0" fontId="147" fillId="33" borderId="10" xfId="0" applyFont="1" applyFill="1" applyBorder="1" applyAlignment="1">
      <alignment horizontal="center" vertical="center"/>
    </xf>
    <xf numFmtId="0" fontId="147" fillId="33" borderId="11" xfId="0" applyFont="1" applyFill="1" applyBorder="1" applyAlignment="1">
      <alignment horizontal="center" vertical="center"/>
    </xf>
    <xf numFmtId="0" fontId="147" fillId="33" borderId="14" xfId="0" applyFont="1" applyFill="1" applyBorder="1" applyAlignment="1">
      <alignment horizontal="center" vertical="center"/>
    </xf>
    <xf numFmtId="0" fontId="148" fillId="33" borderId="10" xfId="0" applyFont="1" applyFill="1" applyBorder="1" applyAlignment="1">
      <alignment horizontal="center" vertical="center"/>
    </xf>
    <xf numFmtId="0" fontId="148" fillId="33" borderId="11" xfId="0" applyFont="1" applyFill="1" applyBorder="1" applyAlignment="1">
      <alignment horizontal="center" vertical="center"/>
    </xf>
    <xf numFmtId="0" fontId="148" fillId="33" borderId="14" xfId="0" applyFont="1" applyFill="1" applyBorder="1" applyAlignment="1">
      <alignment horizontal="center" vertical="center"/>
    </xf>
    <xf numFmtId="0" fontId="147" fillId="59" borderId="10" xfId="0" applyFont="1" applyFill="1" applyBorder="1" applyAlignment="1">
      <alignment horizontal="center" vertical="center" wrapText="1"/>
    </xf>
    <xf numFmtId="0" fontId="147" fillId="59" borderId="11" xfId="0" applyFont="1" applyFill="1" applyBorder="1" applyAlignment="1">
      <alignment horizontal="center" vertical="center" wrapText="1"/>
    </xf>
    <xf numFmtId="0" fontId="147" fillId="59" borderId="14" xfId="0" applyFont="1" applyFill="1" applyBorder="1" applyAlignment="1">
      <alignment horizontal="center" vertical="center" wrapText="1"/>
    </xf>
    <xf numFmtId="0" fontId="147" fillId="33" borderId="10" xfId="0" applyFont="1" applyFill="1" applyBorder="1" applyAlignment="1">
      <alignment horizontal="center" vertical="center" wrapText="1"/>
    </xf>
    <xf numFmtId="0" fontId="147" fillId="33" borderId="11" xfId="0" applyFont="1" applyFill="1" applyBorder="1" applyAlignment="1">
      <alignment horizontal="center" vertical="center" wrapText="1"/>
    </xf>
    <xf numFmtId="0" fontId="147" fillId="33" borderId="14" xfId="0" applyFont="1" applyFill="1" applyBorder="1" applyAlignment="1">
      <alignment horizontal="center" vertical="center" wrapText="1"/>
    </xf>
    <xf numFmtId="0" fontId="148" fillId="33" borderId="10" xfId="0" applyFont="1" applyFill="1" applyBorder="1" applyAlignment="1">
      <alignment horizontal="center" vertical="center" wrapText="1"/>
    </xf>
    <xf numFmtId="0" fontId="148" fillId="33" borderId="11" xfId="0" applyFont="1" applyFill="1" applyBorder="1" applyAlignment="1">
      <alignment horizontal="center" vertical="center" wrapText="1"/>
    </xf>
    <xf numFmtId="0" fontId="148" fillId="33" borderId="14" xfId="0" applyFont="1" applyFill="1" applyBorder="1" applyAlignment="1">
      <alignment horizontal="center" vertical="center" wrapText="1"/>
    </xf>
    <xf numFmtId="0" fontId="147" fillId="33" borderId="10" xfId="0" applyFont="1" applyFill="1" applyBorder="1" applyAlignment="1">
      <alignment horizontal="left" vertical="center" wrapText="1"/>
    </xf>
    <xf numFmtId="0" fontId="147" fillId="33" borderId="11" xfId="0" applyFont="1" applyFill="1" applyBorder="1" applyAlignment="1">
      <alignment horizontal="left" vertical="center" wrapText="1"/>
    </xf>
    <xf numFmtId="0" fontId="147" fillId="33" borderId="14" xfId="0" applyFont="1" applyFill="1" applyBorder="1" applyAlignment="1">
      <alignment horizontal="left" vertical="center" wrapText="1"/>
    </xf>
    <xf numFmtId="0" fontId="148" fillId="33" borderId="20" xfId="0" applyFont="1" applyFill="1" applyBorder="1" applyAlignment="1">
      <alignment horizontal="center" vertical="center"/>
    </xf>
    <xf numFmtId="49" fontId="148" fillId="33" borderId="10" xfId="0" applyNumberFormat="1" applyFont="1" applyFill="1" applyBorder="1" applyAlignment="1">
      <alignment horizontal="center" vertical="center"/>
    </xf>
    <xf numFmtId="49" fontId="148" fillId="33" borderId="11" xfId="0" applyNumberFormat="1" applyFont="1" applyFill="1" applyBorder="1" applyAlignment="1">
      <alignment horizontal="center" vertical="center"/>
    </xf>
    <xf numFmtId="49" fontId="148" fillId="33" borderId="14" xfId="0" applyNumberFormat="1" applyFont="1" applyFill="1" applyBorder="1" applyAlignment="1">
      <alignment horizontal="center" vertical="center"/>
    </xf>
    <xf numFmtId="0" fontId="148" fillId="33" borderId="10" xfId="0" applyFont="1" applyFill="1" applyBorder="1" applyAlignment="1">
      <alignment horizontal="left"/>
    </xf>
    <xf numFmtId="0" fontId="148" fillId="33" borderId="11" xfId="0" applyFont="1" applyFill="1" applyBorder="1" applyAlignment="1">
      <alignment horizontal="left"/>
    </xf>
    <xf numFmtId="0" fontId="148" fillId="33" borderId="14" xfId="0" applyFont="1" applyFill="1" applyBorder="1" applyAlignment="1">
      <alignment horizontal="left"/>
    </xf>
    <xf numFmtId="0" fontId="148" fillId="33" borderId="0" xfId="0" applyFont="1" applyFill="1" applyAlignment="1">
      <alignment horizontal="center"/>
    </xf>
    <xf numFmtId="0" fontId="147" fillId="59" borderId="10" xfId="0" applyFont="1" applyFill="1" applyBorder="1" applyAlignment="1">
      <alignment horizontal="left" vertical="center" wrapText="1"/>
    </xf>
    <xf numFmtId="0" fontId="147" fillId="59" borderId="11" xfId="0" applyFont="1" applyFill="1" applyBorder="1" applyAlignment="1">
      <alignment horizontal="left" vertical="center" wrapText="1"/>
    </xf>
    <xf numFmtId="0" fontId="147" fillId="59" borderId="14" xfId="0" applyFont="1" applyFill="1" applyBorder="1" applyAlignment="1">
      <alignment horizontal="left" vertical="center" wrapText="1"/>
    </xf>
    <xf numFmtId="0" fontId="147" fillId="33" borderId="23" xfId="0" applyFont="1" applyFill="1" applyBorder="1" applyAlignment="1">
      <alignment horizontal="center" vertical="center" wrapText="1"/>
    </xf>
    <xf numFmtId="0" fontId="147" fillId="33" borderId="12" xfId="0" applyFont="1" applyFill="1" applyBorder="1" applyAlignment="1">
      <alignment horizontal="center" vertical="center" wrapText="1"/>
    </xf>
    <xf numFmtId="0" fontId="147" fillId="33" borderId="15" xfId="0" applyFont="1" applyFill="1" applyBorder="1" applyAlignment="1">
      <alignment horizontal="center" vertical="center" wrapText="1"/>
    </xf>
    <xf numFmtId="0" fontId="147" fillId="33" borderId="10" xfId="0" applyFont="1" applyFill="1" applyBorder="1" applyAlignment="1">
      <alignment horizontal="left" vertical="top" wrapText="1"/>
    </xf>
    <xf numFmtId="0" fontId="147" fillId="33" borderId="11" xfId="0" applyFont="1" applyFill="1" applyBorder="1" applyAlignment="1">
      <alignment horizontal="left" vertical="top" wrapText="1"/>
    </xf>
    <xf numFmtId="0" fontId="147" fillId="33" borderId="14" xfId="0" applyFont="1" applyFill="1" applyBorder="1" applyAlignment="1">
      <alignment horizontal="left" vertical="top" wrapText="1"/>
    </xf>
    <xf numFmtId="0" fontId="147" fillId="59" borderId="11" xfId="0" applyFont="1" applyFill="1" applyBorder="1" applyAlignment="1">
      <alignment horizontal="left" vertical="top" wrapText="1"/>
    </xf>
    <xf numFmtId="0" fontId="147" fillId="59" borderId="11" xfId="0" applyFont="1" applyFill="1" applyBorder="1" applyAlignment="1">
      <alignment horizontal="left" vertical="top"/>
    </xf>
    <xf numFmtId="0" fontId="147" fillId="59" borderId="14" xfId="0" applyFont="1" applyFill="1" applyBorder="1" applyAlignment="1">
      <alignment horizontal="left" vertical="top"/>
    </xf>
    <xf numFmtId="0" fontId="148" fillId="33" borderId="10" xfId="0" applyFont="1" applyFill="1" applyBorder="1" applyAlignment="1">
      <alignment horizontal="left" vertical="center"/>
    </xf>
    <xf numFmtId="0" fontId="148" fillId="33" borderId="11" xfId="0" applyFont="1" applyFill="1" applyBorder="1" applyAlignment="1">
      <alignment horizontal="left" vertical="center"/>
    </xf>
    <xf numFmtId="0" fontId="148" fillId="33" borderId="14" xfId="0" applyFont="1" applyFill="1" applyBorder="1" applyAlignment="1">
      <alignment horizontal="left" vertical="center"/>
    </xf>
    <xf numFmtId="0" fontId="67" fillId="0" borderId="65" xfId="53" applyFont="1" applyBorder="1" applyAlignment="1">
      <alignment vertical="center" wrapText="1"/>
    </xf>
    <xf numFmtId="0" fontId="67" fillId="0" borderId="69" xfId="53" applyFont="1" applyBorder="1" applyAlignment="1">
      <alignment vertical="center" wrapText="1"/>
    </xf>
    <xf numFmtId="0" fontId="67" fillId="0" borderId="66" xfId="53" applyFont="1" applyBorder="1" applyAlignment="1">
      <alignment vertical="center" wrapText="1"/>
    </xf>
    <xf numFmtId="0" fontId="82" fillId="0" borderId="65" xfId="53" applyFont="1" applyBorder="1" applyAlignment="1">
      <alignment horizontal="left" vertical="center" wrapText="1"/>
    </xf>
    <xf numFmtId="0" fontId="82" fillId="0" borderId="69" xfId="53" applyFont="1" applyBorder="1" applyAlignment="1">
      <alignment horizontal="left" vertical="center" wrapText="1"/>
    </xf>
    <xf numFmtId="0" fontId="82" fillId="0" borderId="66" xfId="53" applyFont="1" applyBorder="1" applyAlignment="1">
      <alignment horizontal="left" vertical="center" wrapText="1"/>
    </xf>
    <xf numFmtId="0" fontId="82" fillId="45" borderId="59" xfId="53" applyFont="1" applyFill="1" applyBorder="1" applyAlignment="1">
      <alignment horizontal="left" vertical="top" wrapText="1"/>
    </xf>
    <xf numFmtId="0" fontId="82" fillId="45" borderId="73" xfId="53" applyFont="1" applyFill="1" applyBorder="1" applyAlignment="1">
      <alignment horizontal="left" vertical="top" wrapText="1"/>
    </xf>
    <xf numFmtId="0" fontId="82" fillId="45" borderId="74" xfId="53" applyFont="1" applyFill="1" applyBorder="1" applyAlignment="1">
      <alignment horizontal="left" vertical="top" wrapText="1"/>
    </xf>
    <xf numFmtId="0" fontId="82" fillId="45" borderId="52" xfId="53" applyFont="1" applyFill="1" applyBorder="1" applyAlignment="1">
      <alignment horizontal="left" vertical="top" wrapText="1"/>
    </xf>
    <xf numFmtId="0" fontId="82" fillId="45" borderId="0" xfId="53" applyFont="1" applyFill="1" applyBorder="1" applyAlignment="1">
      <alignment horizontal="left" vertical="top" wrapText="1"/>
    </xf>
    <xf numFmtId="0" fontId="82" fillId="45" borderId="54" xfId="53" applyFont="1" applyFill="1" applyBorder="1" applyAlignment="1">
      <alignment horizontal="left" vertical="top" wrapText="1"/>
    </xf>
    <xf numFmtId="0" fontId="82" fillId="45" borderId="63" xfId="53" applyFont="1" applyFill="1" applyBorder="1" applyAlignment="1">
      <alignment horizontal="left" vertical="top" wrapText="1"/>
    </xf>
    <xf numFmtId="0" fontId="82" fillId="45" borderId="53" xfId="53" applyFont="1" applyFill="1" applyBorder="1" applyAlignment="1">
      <alignment horizontal="left" vertical="top" wrapText="1"/>
    </xf>
    <xf numFmtId="0" fontId="82" fillId="45" borderId="64" xfId="53" applyFont="1" applyFill="1" applyBorder="1" applyAlignment="1">
      <alignment horizontal="left" vertical="top" wrapText="1"/>
    </xf>
    <xf numFmtId="0" fontId="83" fillId="0" borderId="60" xfId="53" applyFont="1" applyBorder="1" applyAlignment="1">
      <alignment horizontal="left" vertical="center"/>
    </xf>
    <xf numFmtId="0" fontId="83" fillId="0" borderId="61" xfId="53" applyFont="1" applyBorder="1" applyAlignment="1">
      <alignment horizontal="left" vertical="center"/>
    </xf>
    <xf numFmtId="0" fontId="83" fillId="0" borderId="62" xfId="53" applyFont="1" applyBorder="1" applyAlignment="1">
      <alignment horizontal="left" vertical="center"/>
    </xf>
    <xf numFmtId="0" fontId="104" fillId="35" borderId="32" xfId="0" applyFont="1" applyFill="1" applyBorder="1" applyAlignment="1">
      <alignment horizontal="left" vertical="top" wrapText="1"/>
    </xf>
    <xf numFmtId="0" fontId="103" fillId="35" borderId="33" xfId="0" applyFont="1" applyFill="1" applyBorder="1" applyAlignment="1">
      <alignment horizontal="left" vertical="top" wrapText="1"/>
    </xf>
    <xf numFmtId="0" fontId="103" fillId="35" borderId="34" xfId="0" applyFont="1" applyFill="1" applyBorder="1" applyAlignment="1">
      <alignment horizontal="left" vertical="top" wrapText="1"/>
    </xf>
    <xf numFmtId="0" fontId="103" fillId="35" borderId="27" xfId="0" applyFont="1" applyFill="1" applyBorder="1" applyAlignment="1">
      <alignment horizontal="left" vertical="top" wrapText="1"/>
    </xf>
    <xf numFmtId="0" fontId="103" fillId="35" borderId="28" xfId="0" applyFont="1" applyFill="1" applyBorder="1" applyAlignment="1">
      <alignment horizontal="left" vertical="top" wrapText="1"/>
    </xf>
    <xf numFmtId="0" fontId="103" fillId="35" borderId="29" xfId="0" applyFont="1" applyFill="1" applyBorder="1" applyAlignment="1">
      <alignment horizontal="left" vertical="top" wrapText="1"/>
    </xf>
    <xf numFmtId="0" fontId="105" fillId="35" borderId="30" xfId="0" applyFont="1" applyFill="1" applyBorder="1" applyAlignment="1">
      <alignment horizontal="left" vertical="top" wrapText="1"/>
    </xf>
    <xf numFmtId="0" fontId="104" fillId="35" borderId="0" xfId="0" applyFont="1" applyFill="1" applyBorder="1" applyAlignment="1">
      <alignment horizontal="left" vertical="top" wrapText="1"/>
    </xf>
    <xf numFmtId="0" fontId="104" fillId="35" borderId="31" xfId="0" applyFont="1" applyFill="1" applyBorder="1" applyAlignment="1">
      <alignment horizontal="left" vertical="top" wrapText="1"/>
    </xf>
    <xf numFmtId="0" fontId="103" fillId="35" borderId="30" xfId="0" applyFont="1" applyFill="1" applyBorder="1" applyAlignment="1">
      <alignment horizontal="left" vertical="top" wrapText="1"/>
    </xf>
    <xf numFmtId="0" fontId="103" fillId="35" borderId="0" xfId="0" applyFont="1" applyFill="1" applyBorder="1" applyAlignment="1">
      <alignment horizontal="left" vertical="top" wrapText="1"/>
    </xf>
    <xf numFmtId="0" fontId="103" fillId="35" borderId="31" xfId="0" applyFont="1" applyFill="1" applyBorder="1" applyAlignment="1">
      <alignment horizontal="left" vertical="top" wrapText="1"/>
    </xf>
    <xf numFmtId="0" fontId="104" fillId="35" borderId="30" xfId="0" applyFont="1" applyFill="1" applyBorder="1" applyAlignment="1">
      <alignment horizontal="left" vertical="top" wrapText="1"/>
    </xf>
    <xf numFmtId="0" fontId="67" fillId="0" borderId="35" xfId="0" applyFont="1" applyBorder="1" applyAlignment="1">
      <alignment horizontal="left" vertical="top" wrapText="1"/>
    </xf>
    <xf numFmtId="0" fontId="67" fillId="0" borderId="38" xfId="0" applyFont="1" applyBorder="1" applyAlignment="1">
      <alignment horizontal="left" vertical="top" wrapText="1"/>
    </xf>
    <xf numFmtId="0" fontId="67" fillId="0" borderId="40" xfId="0" applyFont="1" applyBorder="1" applyAlignment="1">
      <alignment horizontal="left" vertical="top" wrapText="1"/>
    </xf>
    <xf numFmtId="0" fontId="67" fillId="0" borderId="35" xfId="0" applyFont="1" applyBorder="1" applyAlignment="1">
      <alignment horizontal="right" vertical="top" wrapText="1"/>
    </xf>
    <xf numFmtId="0" fontId="67" fillId="0" borderId="38" xfId="0" applyFont="1" applyBorder="1" applyAlignment="1">
      <alignment horizontal="right" vertical="top" wrapText="1"/>
    </xf>
    <xf numFmtId="0" fontId="67" fillId="0" borderId="40" xfId="0" applyFont="1" applyBorder="1" applyAlignment="1">
      <alignment horizontal="right" vertical="top" wrapText="1"/>
    </xf>
    <xf numFmtId="0" fontId="102" fillId="39" borderId="10" xfId="0" applyFont="1" applyFill="1" applyBorder="1" applyAlignment="1">
      <alignment horizontal="left" vertical="center" wrapText="1"/>
    </xf>
    <xf numFmtId="0" fontId="102" fillId="39" borderId="11" xfId="0" applyFont="1" applyFill="1" applyBorder="1" applyAlignment="1">
      <alignment horizontal="left" vertical="center" wrapText="1"/>
    </xf>
    <xf numFmtId="0" fontId="102" fillId="39" borderId="14" xfId="0" applyFont="1" applyFill="1" applyBorder="1" applyAlignment="1">
      <alignment horizontal="left" vertical="center" wrapText="1"/>
    </xf>
    <xf numFmtId="0" fontId="106" fillId="33" borderId="23" xfId="0" applyFont="1" applyFill="1" applyBorder="1" applyAlignment="1">
      <alignment horizontal="center" vertical="top" wrapText="1"/>
    </xf>
    <xf numFmtId="0" fontId="106" fillId="33" borderId="12" xfId="0" applyFont="1" applyFill="1" applyBorder="1" applyAlignment="1">
      <alignment horizontal="center" vertical="top" wrapText="1"/>
    </xf>
    <xf numFmtId="0" fontId="106" fillId="33" borderId="15" xfId="0" applyFont="1" applyFill="1" applyBorder="1" applyAlignment="1">
      <alignment horizontal="center" vertical="top" wrapText="1"/>
    </xf>
    <xf numFmtId="0" fontId="106" fillId="34" borderId="10" xfId="0" applyFont="1" applyFill="1" applyBorder="1" applyAlignment="1">
      <alignment horizontal="left" vertical="top"/>
    </xf>
    <xf numFmtId="0" fontId="106" fillId="34" borderId="11" xfId="0" applyFont="1" applyFill="1" applyBorder="1" applyAlignment="1">
      <alignment horizontal="left" vertical="top"/>
    </xf>
    <xf numFmtId="0" fontId="106" fillId="34" borderId="14" xfId="0" applyFont="1" applyFill="1" applyBorder="1" applyAlignment="1">
      <alignment horizontal="left" vertical="top"/>
    </xf>
    <xf numFmtId="0" fontId="102" fillId="39" borderId="10" xfId="0" applyFont="1" applyFill="1" applyBorder="1" applyAlignment="1">
      <alignment horizontal="left" vertical="top" wrapText="1"/>
    </xf>
    <xf numFmtId="0" fontId="102" fillId="39" borderId="11" xfId="0" applyFont="1" applyFill="1" applyBorder="1" applyAlignment="1">
      <alignment horizontal="left" vertical="top" wrapText="1"/>
    </xf>
    <xf numFmtId="0" fontId="102" fillId="39" borderId="14" xfId="0" applyFont="1" applyFill="1" applyBorder="1" applyAlignment="1">
      <alignment horizontal="left" vertical="top" wrapText="1"/>
    </xf>
    <xf numFmtId="0" fontId="102" fillId="33" borderId="10" xfId="0" applyFont="1" applyFill="1" applyBorder="1" applyAlignment="1">
      <alignment horizontal="center" vertical="center"/>
    </xf>
    <xf numFmtId="0" fontId="102" fillId="33" borderId="11" xfId="0" applyFont="1" applyFill="1" applyBorder="1" applyAlignment="1">
      <alignment horizontal="center" vertical="center"/>
    </xf>
    <xf numFmtId="0" fontId="102" fillId="33" borderId="14" xfId="0" applyFont="1" applyFill="1" applyBorder="1" applyAlignment="1">
      <alignment horizontal="center" vertical="center"/>
    </xf>
    <xf numFmtId="0" fontId="102" fillId="33" borderId="19" xfId="0" applyFont="1" applyFill="1" applyBorder="1" applyAlignment="1">
      <alignment horizontal="left" vertical="top" wrapText="1"/>
    </xf>
    <xf numFmtId="0" fontId="102" fillId="33" borderId="17" xfId="0" applyFont="1" applyFill="1" applyBorder="1" applyAlignment="1">
      <alignment horizontal="left" vertical="top" wrapText="1"/>
    </xf>
    <xf numFmtId="0" fontId="106" fillId="34" borderId="10" xfId="0" applyFont="1" applyFill="1" applyBorder="1" applyAlignment="1">
      <alignment horizontal="left" vertical="top" wrapText="1"/>
    </xf>
    <xf numFmtId="0" fontId="106" fillId="34" borderId="11" xfId="0" applyFont="1" applyFill="1" applyBorder="1" applyAlignment="1">
      <alignment horizontal="left" vertical="top" wrapText="1"/>
    </xf>
    <xf numFmtId="0" fontId="106" fillId="34" borderId="14" xfId="0" applyFont="1" applyFill="1" applyBorder="1" applyAlignment="1">
      <alignment horizontal="left" vertical="top" wrapText="1"/>
    </xf>
    <xf numFmtId="0" fontId="102" fillId="33" borderId="22" xfId="0" applyFont="1" applyFill="1" applyBorder="1" applyAlignment="1">
      <alignment horizontal="right" vertical="top"/>
    </xf>
    <xf numFmtId="0" fontId="102" fillId="33" borderId="13" xfId="0" applyFont="1" applyFill="1" applyBorder="1" applyAlignment="1">
      <alignment horizontal="right" vertical="top"/>
    </xf>
    <xf numFmtId="0" fontId="102" fillId="33" borderId="16" xfId="0" applyFont="1" applyFill="1" applyBorder="1" applyAlignment="1">
      <alignment horizontal="right" vertical="top"/>
    </xf>
    <xf numFmtId="0" fontId="102" fillId="46" borderId="10" xfId="0" applyFont="1" applyFill="1" applyBorder="1" applyAlignment="1">
      <alignment horizontal="center" vertical="top"/>
    </xf>
    <xf numFmtId="0" fontId="102" fillId="46" borderId="11" xfId="0" applyFont="1" applyFill="1" applyBorder="1" applyAlignment="1">
      <alignment horizontal="center" vertical="top"/>
    </xf>
    <xf numFmtId="0" fontId="102" fillId="46" borderId="14" xfId="0" applyFont="1" applyFill="1" applyBorder="1" applyAlignment="1">
      <alignment horizontal="center" vertical="top"/>
    </xf>
    <xf numFmtId="0" fontId="102" fillId="33" borderId="21" xfId="0" applyFont="1" applyFill="1" applyBorder="1" applyAlignment="1">
      <alignment horizontal="left" vertical="top" wrapText="1"/>
    </xf>
    <xf numFmtId="0" fontId="102" fillId="33" borderId="10" xfId="0" applyFont="1" applyFill="1" applyBorder="1" applyAlignment="1">
      <alignment horizontal="center" vertical="top" wrapText="1"/>
    </xf>
    <xf numFmtId="0" fontId="102" fillId="33" borderId="11" xfId="0" applyFont="1" applyFill="1" applyBorder="1" applyAlignment="1">
      <alignment horizontal="center" vertical="top" wrapText="1"/>
    </xf>
    <xf numFmtId="0" fontId="102" fillId="33" borderId="14" xfId="0" applyFont="1" applyFill="1" applyBorder="1" applyAlignment="1">
      <alignment horizontal="center" vertical="top" wrapText="1"/>
    </xf>
    <xf numFmtId="0" fontId="106" fillId="34" borderId="10" xfId="0" applyFont="1" applyFill="1" applyBorder="1" applyAlignment="1">
      <alignment horizontal="center" vertical="top"/>
    </xf>
    <xf numFmtId="0" fontId="106" fillId="34" borderId="11" xfId="0" applyFont="1" applyFill="1" applyBorder="1" applyAlignment="1">
      <alignment horizontal="center" vertical="top"/>
    </xf>
    <xf numFmtId="0" fontId="106" fillId="34" borderId="14" xfId="0" applyFont="1" applyFill="1" applyBorder="1" applyAlignment="1">
      <alignment horizontal="center" vertical="top"/>
    </xf>
    <xf numFmtId="0" fontId="102" fillId="39" borderId="10" xfId="0" applyFont="1" applyFill="1" applyBorder="1" applyAlignment="1">
      <alignment vertical="top" wrapText="1"/>
    </xf>
    <xf numFmtId="0" fontId="102" fillId="39" borderId="11" xfId="0" applyFont="1" applyFill="1" applyBorder="1" applyAlignment="1">
      <alignment vertical="top" wrapText="1"/>
    </xf>
    <xf numFmtId="0" fontId="102" fillId="39" borderId="14" xfId="0" applyFont="1" applyFill="1" applyBorder="1" applyAlignment="1">
      <alignment vertical="top" wrapText="1"/>
    </xf>
    <xf numFmtId="0" fontId="102" fillId="33" borderId="10" xfId="0" applyFont="1" applyFill="1" applyBorder="1" applyAlignment="1">
      <alignment horizontal="right" vertical="top"/>
    </xf>
    <xf numFmtId="0" fontId="102" fillId="33" borderId="11" xfId="0" applyFont="1" applyFill="1" applyBorder="1" applyAlignment="1">
      <alignment horizontal="right" vertical="top"/>
    </xf>
    <xf numFmtId="0" fontId="102" fillId="33" borderId="14" xfId="0" applyFont="1" applyFill="1" applyBorder="1" applyAlignment="1">
      <alignment horizontal="right" vertical="top"/>
    </xf>
    <xf numFmtId="0" fontId="112" fillId="39" borderId="11" xfId="0" applyFont="1" applyFill="1" applyBorder="1" applyAlignment="1">
      <alignment horizontal="left" vertical="top" wrapText="1"/>
    </xf>
    <xf numFmtId="0" fontId="102" fillId="39" borderId="11" xfId="0" applyFont="1" applyFill="1" applyBorder="1" applyAlignment="1">
      <alignment horizontal="left" vertical="top"/>
    </xf>
    <xf numFmtId="0" fontId="102" fillId="39" borderId="14" xfId="0" applyFont="1" applyFill="1" applyBorder="1" applyAlignment="1">
      <alignment horizontal="left" vertical="top"/>
    </xf>
    <xf numFmtId="0" fontId="102" fillId="33" borderId="19" xfId="0" applyFont="1" applyFill="1" applyBorder="1" applyAlignment="1">
      <alignment horizontal="center" vertical="top" wrapText="1"/>
    </xf>
    <xf numFmtId="0" fontId="102" fillId="33" borderId="17" xfId="0" applyFont="1" applyFill="1" applyBorder="1" applyAlignment="1">
      <alignment horizontal="center" vertical="top" wrapText="1"/>
    </xf>
    <xf numFmtId="0" fontId="102" fillId="46" borderId="10" xfId="0" applyFont="1" applyFill="1" applyBorder="1" applyAlignment="1">
      <alignment horizontal="center" vertical="top" wrapText="1"/>
    </xf>
    <xf numFmtId="0" fontId="102" fillId="46" borderId="11" xfId="0" applyFont="1" applyFill="1" applyBorder="1" applyAlignment="1">
      <alignment horizontal="center" vertical="top" wrapText="1"/>
    </xf>
    <xf numFmtId="0" fontId="102" fillId="46" borderId="14" xfId="0" applyFont="1" applyFill="1" applyBorder="1" applyAlignment="1">
      <alignment horizontal="center" vertical="top" wrapText="1"/>
    </xf>
    <xf numFmtId="0" fontId="102" fillId="33" borderId="10" xfId="0" applyFont="1" applyFill="1" applyBorder="1" applyAlignment="1">
      <alignment horizontal="center" vertical="top"/>
    </xf>
    <xf numFmtId="0" fontId="102" fillId="33" borderId="11" xfId="0" applyFont="1" applyFill="1" applyBorder="1" applyAlignment="1">
      <alignment horizontal="center" vertical="top"/>
    </xf>
    <xf numFmtId="0" fontId="102" fillId="33" borderId="14" xfId="0" applyFont="1" applyFill="1" applyBorder="1" applyAlignment="1">
      <alignment horizontal="center" vertical="top"/>
    </xf>
    <xf numFmtId="0" fontId="102" fillId="33" borderId="10" xfId="0" applyFont="1" applyFill="1" applyBorder="1" applyAlignment="1">
      <alignment horizontal="left" vertical="top" wrapText="1"/>
    </xf>
    <xf numFmtId="0" fontId="102" fillId="33" borderId="11" xfId="0" applyFont="1" applyFill="1" applyBorder="1" applyAlignment="1">
      <alignment horizontal="left" vertical="top" wrapText="1"/>
    </xf>
    <xf numFmtId="0" fontId="102" fillId="33" borderId="14" xfId="0" applyFont="1" applyFill="1" applyBorder="1" applyAlignment="1">
      <alignment horizontal="left" vertical="top" wrapText="1"/>
    </xf>
    <xf numFmtId="0" fontId="102" fillId="39" borderId="10" xfId="0" applyFont="1" applyFill="1" applyBorder="1" applyAlignment="1">
      <alignment horizontal="right" vertical="top" wrapText="1"/>
    </xf>
    <xf numFmtId="0" fontId="102" fillId="39" borderId="11" xfId="0" applyFont="1" applyFill="1" applyBorder="1" applyAlignment="1">
      <alignment horizontal="right" vertical="top" wrapText="1"/>
    </xf>
    <xf numFmtId="0" fontId="102" fillId="39" borderId="14" xfId="0" applyFont="1" applyFill="1" applyBorder="1" applyAlignment="1">
      <alignment horizontal="right" vertical="top" wrapText="1"/>
    </xf>
    <xf numFmtId="0" fontId="106" fillId="0" borderId="10" xfId="0" applyFont="1" applyBorder="1" applyAlignment="1">
      <alignment horizontal="left" vertical="top"/>
    </xf>
    <xf numFmtId="0" fontId="106" fillId="0" borderId="11" xfId="0" applyFont="1" applyBorder="1" applyAlignment="1">
      <alignment horizontal="left" vertical="top"/>
    </xf>
    <xf numFmtId="0" fontId="106" fillId="0" borderId="14" xfId="0" applyFont="1" applyBorder="1" applyAlignment="1">
      <alignment horizontal="left" vertical="top"/>
    </xf>
    <xf numFmtId="0" fontId="106" fillId="0" borderId="0" xfId="0" applyFont="1" applyAlignment="1">
      <alignment horizontal="left" vertical="top"/>
    </xf>
    <xf numFmtId="0" fontId="107" fillId="35" borderId="0" xfId="0" applyFont="1" applyFill="1" applyAlignment="1">
      <alignment horizontal="center" vertical="center"/>
    </xf>
    <xf numFmtId="0" fontId="102" fillId="33" borderId="20" xfId="0" applyFont="1" applyFill="1" applyBorder="1" applyAlignment="1">
      <alignment horizontal="center" vertical="top"/>
    </xf>
    <xf numFmtId="49" fontId="106" fillId="33" borderId="10" xfId="0" applyNumberFormat="1" applyFont="1" applyFill="1" applyBorder="1" applyAlignment="1">
      <alignment horizontal="center" vertical="top"/>
    </xf>
    <xf numFmtId="49" fontId="106" fillId="33" borderId="11" xfId="0" applyNumberFormat="1" applyFont="1" applyFill="1" applyBorder="1" applyAlignment="1">
      <alignment horizontal="center" vertical="top"/>
    </xf>
    <xf numFmtId="49" fontId="106" fillId="33" borderId="14" xfId="0" applyNumberFormat="1" applyFont="1" applyFill="1" applyBorder="1" applyAlignment="1">
      <alignment horizontal="center" vertical="top"/>
    </xf>
    <xf numFmtId="0" fontId="106" fillId="33" borderId="10" xfId="0" applyFont="1" applyFill="1" applyBorder="1" applyAlignment="1">
      <alignment horizontal="center" vertical="top" wrapText="1"/>
    </xf>
    <xf numFmtId="0" fontId="106" fillId="33" borderId="11" xfId="0" applyFont="1" applyFill="1" applyBorder="1" applyAlignment="1">
      <alignment horizontal="center" vertical="top" wrapText="1"/>
    </xf>
    <xf numFmtId="0" fontId="106" fillId="33" borderId="14" xfId="0" applyFont="1" applyFill="1" applyBorder="1" applyAlignment="1">
      <alignment horizontal="center" vertical="top" wrapText="1"/>
    </xf>
    <xf numFmtId="0" fontId="147" fillId="34" borderId="10" xfId="0" applyFont="1" applyFill="1" applyBorder="1" applyAlignment="1">
      <alignment horizontal="left" vertical="top" wrapText="1"/>
    </xf>
    <xf numFmtId="0" fontId="147" fillId="34" borderId="11" xfId="0" applyFont="1" applyFill="1" applyBorder="1" applyAlignment="1">
      <alignment horizontal="left" vertical="top" wrapText="1"/>
    </xf>
    <xf numFmtId="0" fontId="147" fillId="34" borderId="14" xfId="0" applyFont="1" applyFill="1" applyBorder="1" applyAlignment="1">
      <alignment horizontal="left" vertical="top" wrapText="1"/>
    </xf>
    <xf numFmtId="0" fontId="147" fillId="34" borderId="20" xfId="0" applyFont="1" applyFill="1" applyBorder="1" applyAlignment="1">
      <alignment horizontal="center" vertical="top"/>
    </xf>
    <xf numFmtId="49" fontId="148" fillId="34" borderId="10" xfId="0" applyNumberFormat="1" applyFont="1" applyFill="1" applyBorder="1" applyAlignment="1">
      <alignment horizontal="center" vertical="top"/>
    </xf>
    <xf numFmtId="49" fontId="148" fillId="34" borderId="11" xfId="0" applyNumberFormat="1" applyFont="1" applyFill="1" applyBorder="1" applyAlignment="1">
      <alignment horizontal="center" vertical="top"/>
    </xf>
    <xf numFmtId="49" fontId="148" fillId="34" borderId="14" xfId="0" applyNumberFormat="1" applyFont="1" applyFill="1" applyBorder="1" applyAlignment="1">
      <alignment horizontal="center" vertical="top"/>
    </xf>
    <xf numFmtId="0" fontId="148" fillId="34" borderId="10" xfId="0" applyFont="1" applyFill="1" applyBorder="1" applyAlignment="1">
      <alignment horizontal="center" vertical="top" wrapText="1"/>
    </xf>
    <xf numFmtId="0" fontId="148" fillId="34" borderId="11" xfId="0" applyFont="1" applyFill="1" applyBorder="1" applyAlignment="1">
      <alignment horizontal="center" vertical="top" wrapText="1"/>
    </xf>
    <xf numFmtId="0" fontId="148" fillId="34" borderId="14" xfId="0" applyFont="1" applyFill="1" applyBorder="1" applyAlignment="1">
      <alignment horizontal="center" vertical="top" wrapText="1"/>
    </xf>
    <xf numFmtId="0" fontId="148" fillId="34" borderId="10" xfId="0" applyFont="1" applyFill="1" applyBorder="1" applyAlignment="1">
      <alignment horizontal="center" vertical="top"/>
    </xf>
    <xf numFmtId="0" fontId="148" fillId="34" borderId="11" xfId="0" applyFont="1" applyFill="1" applyBorder="1" applyAlignment="1">
      <alignment horizontal="center" vertical="top"/>
    </xf>
    <xf numFmtId="0" fontId="148" fillId="34" borderId="14" xfId="0" applyFont="1" applyFill="1" applyBorder="1" applyAlignment="1">
      <alignment horizontal="center" vertical="top"/>
    </xf>
    <xf numFmtId="0" fontId="147" fillId="34" borderId="10" xfId="0" applyFont="1" applyFill="1" applyBorder="1" applyAlignment="1">
      <alignment horizontal="center" vertical="top"/>
    </xf>
    <xf numFmtId="0" fontId="147" fillId="34" borderId="11" xfId="0" applyFont="1" applyFill="1" applyBorder="1" applyAlignment="1">
      <alignment horizontal="center" vertical="top"/>
    </xf>
    <xf numFmtId="0" fontId="147" fillId="34" borderId="14" xfId="0" applyFont="1" applyFill="1" applyBorder="1" applyAlignment="1">
      <alignment horizontal="center" vertical="top"/>
    </xf>
    <xf numFmtId="0" fontId="147" fillId="34" borderId="19" xfId="0" applyFont="1" applyFill="1" applyBorder="1" applyAlignment="1">
      <alignment horizontal="left" vertical="top" wrapText="1"/>
    </xf>
    <xf numFmtId="0" fontId="147" fillId="34" borderId="17" xfId="0" applyFont="1" applyFill="1" applyBorder="1" applyAlignment="1">
      <alignment horizontal="left" vertical="top" wrapText="1"/>
    </xf>
    <xf numFmtId="0" fontId="148" fillId="34" borderId="22" xfId="0" applyFont="1" applyFill="1" applyBorder="1" applyAlignment="1">
      <alignment horizontal="left" vertical="top" wrapText="1"/>
    </xf>
    <xf numFmtId="0" fontId="148" fillId="34" borderId="13" xfId="0" applyFont="1" applyFill="1" applyBorder="1" applyAlignment="1">
      <alignment horizontal="left" vertical="top" wrapText="1"/>
    </xf>
    <xf numFmtId="0" fontId="148" fillId="34" borderId="16" xfId="0" applyFont="1" applyFill="1" applyBorder="1" applyAlignment="1">
      <alignment horizontal="left" vertical="top" wrapText="1"/>
    </xf>
    <xf numFmtId="0" fontId="148" fillId="34" borderId="0" xfId="0" applyFont="1" applyFill="1" applyAlignment="1">
      <alignment horizontal="left" vertical="top"/>
    </xf>
    <xf numFmtId="0" fontId="147" fillId="59" borderId="10" xfId="0" applyFont="1" applyFill="1" applyBorder="1" applyAlignment="1">
      <alignment horizontal="left" vertical="top" wrapText="1"/>
    </xf>
    <xf numFmtId="0" fontId="147" fillId="59" borderId="14" xfId="0" applyFont="1" applyFill="1" applyBorder="1" applyAlignment="1">
      <alignment horizontal="left" vertical="top" wrapText="1"/>
    </xf>
    <xf numFmtId="0" fontId="147" fillId="34" borderId="10" xfId="0" applyFont="1" applyFill="1" applyBorder="1" applyAlignment="1">
      <alignment horizontal="left" vertical="top"/>
    </xf>
    <xf numFmtId="0" fontId="147" fillId="34" borderId="11" xfId="0" applyFont="1" applyFill="1" applyBorder="1" applyAlignment="1">
      <alignment horizontal="left" vertical="top"/>
    </xf>
    <xf numFmtId="0" fontId="147" fillId="34" borderId="14" xfId="0" applyFont="1" applyFill="1" applyBorder="1" applyAlignment="1">
      <alignment horizontal="left" vertical="top"/>
    </xf>
    <xf numFmtId="0" fontId="148" fillId="34" borderId="10" xfId="0" applyFont="1" applyFill="1" applyBorder="1" applyAlignment="1">
      <alignment horizontal="left" vertical="top" wrapText="1"/>
    </xf>
    <xf numFmtId="0" fontId="148" fillId="34" borderId="11" xfId="0" applyFont="1" applyFill="1" applyBorder="1" applyAlignment="1">
      <alignment horizontal="left" vertical="top" wrapText="1"/>
    </xf>
    <xf numFmtId="0" fontId="148" fillId="34" borderId="14" xfId="0" applyFont="1" applyFill="1" applyBorder="1" applyAlignment="1">
      <alignment horizontal="left" vertical="top" wrapText="1"/>
    </xf>
    <xf numFmtId="0" fontId="150" fillId="34" borderId="11" xfId="0" applyFont="1" applyFill="1" applyBorder="1" applyAlignment="1">
      <alignment horizontal="left" vertical="top" wrapText="1"/>
    </xf>
    <xf numFmtId="0" fontId="147" fillId="34" borderId="19" xfId="0" applyFont="1" applyFill="1" applyBorder="1" applyAlignment="1">
      <alignment horizontal="center" vertical="top" wrapText="1"/>
    </xf>
    <xf numFmtId="0" fontId="147" fillId="34" borderId="17" xfId="0" applyFont="1" applyFill="1" applyBorder="1" applyAlignment="1">
      <alignment horizontal="center" vertical="top" wrapText="1"/>
    </xf>
    <xf numFmtId="0" fontId="147" fillId="34" borderId="21" xfId="0" applyFont="1" applyFill="1" applyBorder="1" applyAlignment="1">
      <alignment horizontal="left" vertical="top" wrapText="1"/>
    </xf>
    <xf numFmtId="0" fontId="148" fillId="34" borderId="10" xfId="0" applyFont="1" applyFill="1" applyBorder="1" applyAlignment="1">
      <alignment horizontal="left" vertical="top"/>
    </xf>
    <xf numFmtId="0" fontId="148" fillId="34" borderId="11" xfId="0" applyFont="1" applyFill="1" applyBorder="1" applyAlignment="1">
      <alignment horizontal="left" vertical="top"/>
    </xf>
    <xf numFmtId="0" fontId="148" fillId="34" borderId="14" xfId="0" applyFont="1" applyFill="1" applyBorder="1" applyAlignment="1">
      <alignment horizontal="left" vertical="top"/>
    </xf>
    <xf numFmtId="0" fontId="147" fillId="34" borderId="10" xfId="0" applyFont="1" applyFill="1" applyBorder="1" applyAlignment="1">
      <alignment horizontal="center" vertical="center"/>
    </xf>
    <xf numFmtId="0" fontId="147" fillId="34" borderId="11" xfId="0" applyFont="1" applyFill="1" applyBorder="1" applyAlignment="1">
      <alignment horizontal="center" vertical="center"/>
    </xf>
    <xf numFmtId="0" fontId="147" fillId="34" borderId="14" xfId="0" applyFont="1" applyFill="1" applyBorder="1" applyAlignment="1">
      <alignment horizontal="center" vertical="center"/>
    </xf>
    <xf numFmtId="0" fontId="148" fillId="34" borderId="23" xfId="0" applyFont="1" applyFill="1" applyBorder="1" applyAlignment="1">
      <alignment horizontal="left" vertical="top" wrapText="1"/>
    </xf>
    <xf numFmtId="0" fontId="148" fillId="34" borderId="12" xfId="0" applyFont="1" applyFill="1" applyBorder="1" applyAlignment="1">
      <alignment horizontal="left" vertical="top" wrapText="1"/>
    </xf>
    <xf numFmtId="0" fontId="148" fillId="34" borderId="15" xfId="0" applyFont="1" applyFill="1" applyBorder="1" applyAlignment="1">
      <alignment horizontal="left" vertical="top" wrapText="1"/>
    </xf>
    <xf numFmtId="0" fontId="148" fillId="34" borderId="22" xfId="0" applyFont="1" applyFill="1" applyBorder="1" applyAlignment="1">
      <alignment horizontal="left" vertical="top"/>
    </xf>
    <xf numFmtId="0" fontId="148" fillId="34" borderId="13" xfId="0" applyFont="1" applyFill="1" applyBorder="1" applyAlignment="1">
      <alignment horizontal="left" vertical="top"/>
    </xf>
    <xf numFmtId="0" fontId="148" fillId="34" borderId="16" xfId="0" applyFont="1" applyFill="1" applyBorder="1" applyAlignment="1">
      <alignment horizontal="left" vertical="top"/>
    </xf>
    <xf numFmtId="0" fontId="147" fillId="34" borderId="10" xfId="0" applyFont="1" applyFill="1" applyBorder="1" applyAlignment="1">
      <alignment vertical="top" wrapText="1"/>
    </xf>
    <xf numFmtId="0" fontId="147" fillId="34" borderId="11" xfId="0" applyFont="1" applyFill="1" applyBorder="1" applyAlignment="1">
      <alignment vertical="top" wrapText="1"/>
    </xf>
    <xf numFmtId="0" fontId="147" fillId="34" borderId="14" xfId="0" applyFont="1" applyFill="1" applyBorder="1" applyAlignment="1">
      <alignment vertical="top" wrapText="1"/>
    </xf>
    <xf numFmtId="0" fontId="147" fillId="34" borderId="22" xfId="0" applyFont="1" applyFill="1" applyBorder="1" applyAlignment="1">
      <alignment horizontal="right" vertical="top"/>
    </xf>
    <xf numFmtId="0" fontId="147" fillId="34" borderId="13" xfId="0" applyFont="1" applyFill="1" applyBorder="1" applyAlignment="1">
      <alignment horizontal="right" vertical="top"/>
    </xf>
    <xf numFmtId="0" fontId="147" fillId="34" borderId="16" xfId="0" applyFont="1" applyFill="1" applyBorder="1" applyAlignment="1">
      <alignment horizontal="right" vertical="top"/>
    </xf>
    <xf numFmtId="0" fontId="68" fillId="33" borderId="19" xfId="0" applyFont="1" applyFill="1" applyBorder="1" applyAlignment="1">
      <alignment horizontal="left" vertical="top" wrapText="1"/>
    </xf>
    <xf numFmtId="0" fontId="68" fillId="33" borderId="17" xfId="0" applyFont="1" applyFill="1" applyBorder="1" applyAlignment="1">
      <alignment horizontal="left" vertical="top" wrapText="1"/>
    </xf>
    <xf numFmtId="0" fontId="42" fillId="0" borderId="35" xfId="0" applyFont="1" applyBorder="1" applyAlignment="1">
      <alignment horizontal="left" vertical="top" wrapText="1"/>
    </xf>
    <xf numFmtId="0" fontId="42" fillId="0" borderId="38" xfId="0" applyFont="1" applyBorder="1" applyAlignment="1">
      <alignment horizontal="left" vertical="top" wrapText="1"/>
    </xf>
    <xf numFmtId="0" fontId="42" fillId="0" borderId="40" xfId="0" applyFont="1" applyBorder="1" applyAlignment="1">
      <alignment horizontal="left" vertical="top" wrapText="1"/>
    </xf>
    <xf numFmtId="0" fontId="42" fillId="0" borderId="35" xfId="0" applyFont="1" applyBorder="1" applyAlignment="1">
      <alignment horizontal="right" vertical="top" wrapText="1"/>
    </xf>
    <xf numFmtId="0" fontId="42" fillId="0" borderId="38" xfId="0" applyFont="1" applyBorder="1" applyAlignment="1">
      <alignment horizontal="right" vertical="top" wrapText="1"/>
    </xf>
    <xf numFmtId="0" fontId="42" fillId="0" borderId="40" xfId="0" applyFont="1" applyBorder="1" applyAlignment="1">
      <alignment horizontal="right" vertical="top" wrapText="1"/>
    </xf>
    <xf numFmtId="0" fontId="42" fillId="0" borderId="44" xfId="53" applyFont="1" applyBorder="1" applyAlignment="1">
      <alignment horizontal="left"/>
    </xf>
    <xf numFmtId="0" fontId="42" fillId="0" borderId="43" xfId="53" applyFont="1" applyBorder="1" applyAlignment="1">
      <alignment horizontal="left"/>
    </xf>
    <xf numFmtId="0" fontId="42" fillId="0" borderId="45" xfId="53" applyFont="1" applyBorder="1" applyAlignment="1">
      <alignment horizontal="left"/>
    </xf>
    <xf numFmtId="0" fontId="43" fillId="0" borderId="46" xfId="53" applyNumberFormat="1" applyFont="1" applyBorder="1" applyAlignment="1">
      <alignment horizontal="left" vertical="top" wrapText="1"/>
    </xf>
    <xf numFmtId="0" fontId="43" fillId="0" borderId="48" xfId="53" applyNumberFormat="1" applyFont="1" applyBorder="1" applyAlignment="1">
      <alignment horizontal="left" vertical="top" wrapText="1"/>
    </xf>
    <xf numFmtId="0" fontId="43" fillId="0" borderId="87" xfId="53" applyNumberFormat="1" applyFont="1" applyBorder="1" applyAlignment="1">
      <alignment horizontal="left" vertical="top" wrapText="1"/>
    </xf>
    <xf numFmtId="0" fontId="43" fillId="0" borderId="51" xfId="53" applyNumberFormat="1" applyFont="1" applyBorder="1" applyAlignment="1">
      <alignment horizontal="left" vertical="top" wrapText="1"/>
    </xf>
    <xf numFmtId="0" fontId="43" fillId="0" borderId="0" xfId="53" applyNumberFormat="1" applyFont="1" applyBorder="1" applyAlignment="1">
      <alignment horizontal="left" vertical="top" wrapText="1"/>
    </xf>
    <xf numFmtId="0" fontId="43" fillId="0" borderId="86" xfId="53" applyNumberFormat="1" applyFont="1" applyBorder="1" applyAlignment="1">
      <alignment horizontal="left" vertical="top" wrapText="1"/>
    </xf>
    <xf numFmtId="0" fontId="43" fillId="0" borderId="49" xfId="53" applyNumberFormat="1" applyFont="1" applyBorder="1" applyAlignment="1">
      <alignment horizontal="left" vertical="top" wrapText="1"/>
    </xf>
    <xf numFmtId="0" fontId="43" fillId="0" borderId="50" xfId="53" applyNumberFormat="1" applyFont="1" applyBorder="1" applyAlignment="1">
      <alignment horizontal="left" vertical="top" wrapText="1"/>
    </xf>
    <xf numFmtId="0" fontId="43" fillId="0" borderId="82" xfId="53" applyNumberFormat="1" applyFont="1" applyBorder="1" applyAlignment="1">
      <alignment horizontal="left" vertical="top" wrapText="1"/>
    </xf>
    <xf numFmtId="0" fontId="42" fillId="40" borderId="49" xfId="53" applyFont="1" applyFill="1" applyBorder="1" applyAlignment="1">
      <alignment horizontal="center"/>
    </xf>
    <xf numFmtId="0" fontId="42" fillId="40" borderId="82" xfId="53" applyFont="1" applyFill="1" applyBorder="1" applyAlignment="1">
      <alignment horizontal="center"/>
    </xf>
    <xf numFmtId="0" fontId="123" fillId="0" borderId="10" xfId="0" applyFont="1" applyBorder="1" applyAlignment="1">
      <alignment vertical="top"/>
    </xf>
    <xf numFmtId="0" fontId="123" fillId="0" borderId="11" xfId="0" applyFont="1" applyBorder="1" applyAlignment="1">
      <alignment vertical="top"/>
    </xf>
    <xf numFmtId="0" fontId="123" fillId="0" borderId="14" xfId="0" applyFont="1" applyBorder="1" applyAlignment="1">
      <alignment vertical="top"/>
    </xf>
    <xf numFmtId="0" fontId="68" fillId="0" borderId="0" xfId="0" applyFont="1" applyAlignment="1">
      <alignment vertical="top"/>
    </xf>
    <xf numFmtId="0" fontId="85" fillId="35" borderId="0" xfId="0" applyFont="1" applyFill="1" applyAlignment="1">
      <alignment vertical="top"/>
    </xf>
    <xf numFmtId="0" fontId="68" fillId="33" borderId="20" xfId="0" applyFont="1" applyFill="1" applyBorder="1" applyAlignment="1">
      <alignment vertical="top"/>
    </xf>
    <xf numFmtId="0" fontId="68" fillId="33" borderId="10" xfId="0" applyFont="1" applyFill="1" applyBorder="1" applyAlignment="1">
      <alignment vertical="top"/>
    </xf>
    <xf numFmtId="49" fontId="68" fillId="33" borderId="10" xfId="0" applyNumberFormat="1" applyFont="1" applyFill="1" applyBorder="1" applyAlignment="1">
      <alignment vertical="top"/>
    </xf>
    <xf numFmtId="49" fontId="68" fillId="33" borderId="11" xfId="0" applyNumberFormat="1" applyFont="1" applyFill="1" applyBorder="1" applyAlignment="1">
      <alignment vertical="top"/>
    </xf>
    <xf numFmtId="49" fontId="68" fillId="33" borderId="14" xfId="0" applyNumberFormat="1" applyFont="1" applyFill="1" applyBorder="1" applyAlignment="1">
      <alignment vertical="top"/>
    </xf>
    <xf numFmtId="0" fontId="68" fillId="33" borderId="10" xfId="0" applyFont="1" applyFill="1" applyBorder="1" applyAlignment="1">
      <alignment vertical="top" wrapText="1"/>
    </xf>
    <xf numFmtId="0" fontId="68" fillId="33" borderId="11" xfId="0" applyFont="1" applyFill="1" applyBorder="1" applyAlignment="1">
      <alignment vertical="top" wrapText="1"/>
    </xf>
    <xf numFmtId="0" fontId="68" fillId="33" borderId="14" xfId="0" applyFont="1" applyFill="1" applyBorder="1" applyAlignment="1">
      <alignment vertical="top" wrapText="1"/>
    </xf>
    <xf numFmtId="0" fontId="68" fillId="34" borderId="10" xfId="0" applyFont="1" applyFill="1" applyBorder="1" applyAlignment="1">
      <alignment vertical="top"/>
    </xf>
    <xf numFmtId="0" fontId="68" fillId="34" borderId="11" xfId="0" applyFont="1" applyFill="1" applyBorder="1" applyAlignment="1">
      <alignment vertical="top"/>
    </xf>
    <xf numFmtId="0" fontId="68" fillId="34" borderId="14" xfId="0" applyFont="1" applyFill="1" applyBorder="1" applyAlignment="1">
      <alignment vertical="top"/>
    </xf>
    <xf numFmtId="0" fontId="68" fillId="39" borderId="10" xfId="0" applyFont="1" applyFill="1" applyBorder="1" applyAlignment="1">
      <alignment vertical="top" wrapText="1"/>
    </xf>
    <xf numFmtId="0" fontId="68" fillId="39" borderId="11" xfId="0" applyFont="1" applyFill="1" applyBorder="1" applyAlignment="1">
      <alignment vertical="top" wrapText="1"/>
    </xf>
    <xf numFmtId="0" fontId="68" fillId="39" borderId="14" xfId="0" applyFont="1" applyFill="1" applyBorder="1" applyAlignment="1">
      <alignment vertical="top" wrapText="1"/>
    </xf>
    <xf numFmtId="0" fontId="68" fillId="39" borderId="11" xfId="0" applyFont="1" applyFill="1" applyBorder="1" applyAlignment="1">
      <alignment vertical="top"/>
    </xf>
    <xf numFmtId="0" fontId="68" fillId="39" borderId="14" xfId="0" applyFont="1" applyFill="1" applyBorder="1" applyAlignment="1">
      <alignment vertical="top"/>
    </xf>
    <xf numFmtId="0" fontId="68" fillId="33" borderId="19" xfId="0" applyFont="1" applyFill="1" applyBorder="1" applyAlignment="1">
      <alignment vertical="top" wrapText="1"/>
    </xf>
    <xf numFmtId="0" fontId="68" fillId="33" borderId="17" xfId="0" applyFont="1" applyFill="1" applyBorder="1" applyAlignment="1">
      <alignment vertical="top" wrapText="1"/>
    </xf>
    <xf numFmtId="0" fontId="123" fillId="39" borderId="10" xfId="0" applyFont="1" applyFill="1" applyBorder="1" applyAlignment="1">
      <alignment vertical="top" wrapText="1"/>
    </xf>
    <xf numFmtId="0" fontId="123" fillId="39" borderId="11" xfId="0" applyFont="1" applyFill="1" applyBorder="1" applyAlignment="1">
      <alignment vertical="top" wrapText="1"/>
    </xf>
    <xf numFmtId="0" fontId="123" fillId="39" borderId="14" xfId="0" applyFont="1" applyFill="1" applyBorder="1" applyAlignment="1">
      <alignment vertical="top" wrapText="1"/>
    </xf>
    <xf numFmtId="0" fontId="123" fillId="33" borderId="10" xfId="0" applyFont="1" applyFill="1" applyBorder="1" applyAlignment="1">
      <alignment vertical="top" wrapText="1"/>
    </xf>
    <xf numFmtId="0" fontId="123" fillId="33" borderId="11" xfId="0" applyFont="1" applyFill="1" applyBorder="1" applyAlignment="1">
      <alignment vertical="top" wrapText="1"/>
    </xf>
    <xf numFmtId="0" fontId="123" fillId="33" borderId="14" xfId="0" applyFont="1" applyFill="1" applyBorder="1" applyAlignment="1">
      <alignment vertical="top" wrapText="1"/>
    </xf>
    <xf numFmtId="0" fontId="123" fillId="33" borderId="10" xfId="0" applyFont="1" applyFill="1" applyBorder="1" applyAlignment="1">
      <alignment vertical="top"/>
    </xf>
    <xf numFmtId="0" fontId="123" fillId="33" borderId="11" xfId="0" applyFont="1" applyFill="1" applyBorder="1" applyAlignment="1">
      <alignment vertical="top"/>
    </xf>
    <xf numFmtId="0" fontId="123" fillId="33" borderId="14" xfId="0" applyFont="1" applyFill="1" applyBorder="1" applyAlignment="1">
      <alignment vertical="top"/>
    </xf>
    <xf numFmtId="0" fontId="123" fillId="34" borderId="10" xfId="0" applyFont="1" applyFill="1" applyBorder="1" applyAlignment="1">
      <alignment vertical="top"/>
    </xf>
    <xf numFmtId="0" fontId="123" fillId="34" borderId="11" xfId="0" applyFont="1" applyFill="1" applyBorder="1" applyAlignment="1">
      <alignment vertical="top"/>
    </xf>
    <xf numFmtId="0" fontId="123" fillId="34" borderId="14" xfId="0" applyFont="1" applyFill="1" applyBorder="1" applyAlignment="1">
      <alignment vertical="top"/>
    </xf>
    <xf numFmtId="0" fontId="68" fillId="33" borderId="10" xfId="0" applyFont="1" applyFill="1" applyBorder="1" applyAlignment="1">
      <alignment horizontal="center" vertical="center"/>
    </xf>
    <xf numFmtId="0" fontId="68" fillId="33" borderId="11" xfId="0" applyFont="1" applyFill="1" applyBorder="1" applyAlignment="1">
      <alignment horizontal="center" vertical="center"/>
    </xf>
    <xf numFmtId="0" fontId="68" fillId="33" borderId="14" xfId="0" applyFont="1" applyFill="1" applyBorder="1" applyAlignment="1">
      <alignment horizontal="center" vertical="center"/>
    </xf>
    <xf numFmtId="0" fontId="68" fillId="33" borderId="21" xfId="0" applyFont="1" applyFill="1" applyBorder="1" applyAlignment="1">
      <alignment vertical="top" wrapText="1"/>
    </xf>
    <xf numFmtId="0" fontId="68" fillId="33" borderId="11" xfId="0" applyFont="1" applyFill="1" applyBorder="1" applyAlignment="1">
      <alignment vertical="top"/>
    </xf>
    <xf numFmtId="0" fontId="68" fillId="33" borderId="14" xfId="0" applyFont="1" applyFill="1" applyBorder="1" applyAlignment="1">
      <alignment vertical="top"/>
    </xf>
    <xf numFmtId="0" fontId="68" fillId="34" borderId="10" xfId="0" applyFont="1" applyFill="1" applyBorder="1" applyAlignment="1">
      <alignment vertical="top" wrapText="1"/>
    </xf>
    <xf numFmtId="0" fontId="68" fillId="34" borderId="11" xfId="0" applyFont="1" applyFill="1" applyBorder="1" applyAlignment="1">
      <alignment vertical="top" wrapText="1"/>
    </xf>
    <xf numFmtId="0" fontId="68" fillId="34" borderId="14" xfId="0" applyFont="1" applyFill="1" applyBorder="1" applyAlignment="1">
      <alignment vertical="top" wrapText="1"/>
    </xf>
    <xf numFmtId="0" fontId="68" fillId="39" borderId="10" xfId="0" applyFont="1" applyFill="1" applyBorder="1" applyAlignment="1">
      <alignment vertical="top"/>
    </xf>
    <xf numFmtId="0" fontId="68" fillId="33" borderId="23" xfId="0" applyFont="1" applyFill="1" applyBorder="1" applyAlignment="1">
      <alignment vertical="top" wrapText="1"/>
    </xf>
    <xf numFmtId="0" fontId="68" fillId="33" borderId="12" xfId="0" applyFont="1" applyFill="1" applyBorder="1" applyAlignment="1">
      <alignment vertical="top" wrapText="1"/>
    </xf>
    <xf numFmtId="0" fontId="68" fillId="33" borderId="15" xfId="0" applyFont="1" applyFill="1" applyBorder="1" applyAlignment="1">
      <alignment vertical="top" wrapText="1"/>
    </xf>
    <xf numFmtId="9" fontId="68" fillId="34" borderId="10" xfId="0" applyNumberFormat="1" applyFont="1" applyFill="1" applyBorder="1" applyAlignment="1">
      <alignment vertical="top"/>
    </xf>
    <xf numFmtId="9" fontId="68" fillId="34" borderId="11" xfId="0" applyNumberFormat="1" applyFont="1" applyFill="1" applyBorder="1" applyAlignment="1">
      <alignment vertical="top"/>
    </xf>
    <xf numFmtId="9" fontId="68" fillId="34" borderId="14" xfId="0" applyNumberFormat="1" applyFont="1" applyFill="1" applyBorder="1" applyAlignment="1">
      <alignment vertical="top"/>
    </xf>
    <xf numFmtId="0" fontId="123" fillId="33" borderId="10" xfId="0" applyFont="1" applyFill="1" applyBorder="1" applyAlignment="1">
      <alignment horizontal="center" vertical="top"/>
    </xf>
    <xf numFmtId="0" fontId="123" fillId="33" borderId="11" xfId="0" applyFont="1" applyFill="1" applyBorder="1" applyAlignment="1">
      <alignment horizontal="center" vertical="top"/>
    </xf>
    <xf numFmtId="0" fontId="123" fillId="33" borderId="14" xfId="0" applyFont="1" applyFill="1" applyBorder="1" applyAlignment="1">
      <alignment horizontal="center" vertical="top"/>
    </xf>
    <xf numFmtId="0" fontId="68" fillId="33" borderId="23" xfId="0" applyFont="1" applyFill="1" applyBorder="1" applyAlignment="1">
      <alignment vertical="top"/>
    </xf>
    <xf numFmtId="0" fontId="68" fillId="33" borderId="12" xfId="0" applyFont="1" applyFill="1" applyBorder="1" applyAlignment="1">
      <alignment vertical="top"/>
    </xf>
    <xf numFmtId="0" fontId="68" fillId="33" borderId="15" xfId="0" applyFont="1" applyFill="1" applyBorder="1" applyAlignment="1">
      <alignment vertical="top"/>
    </xf>
    <xf numFmtId="0" fontId="68" fillId="33" borderId="24" xfId="0" applyFont="1" applyFill="1" applyBorder="1" applyAlignment="1">
      <alignment vertical="top"/>
    </xf>
    <xf numFmtId="0" fontId="68" fillId="33" borderId="0" xfId="0" applyFont="1" applyFill="1" applyBorder="1" applyAlignment="1">
      <alignment vertical="top"/>
    </xf>
    <xf numFmtId="0" fontId="68" fillId="33" borderId="18" xfId="0" applyFont="1" applyFill="1" applyBorder="1" applyAlignment="1">
      <alignment vertical="top"/>
    </xf>
    <xf numFmtId="0" fontId="68" fillId="33" borderId="22" xfId="0" applyFont="1" applyFill="1" applyBorder="1" applyAlignment="1">
      <alignment vertical="top"/>
    </xf>
    <xf numFmtId="0" fontId="68" fillId="33" borderId="13" xfId="0" applyFont="1" applyFill="1" applyBorder="1" applyAlignment="1">
      <alignment vertical="top"/>
    </xf>
    <xf numFmtId="0" fontId="68" fillId="33" borderId="16" xfId="0" applyFont="1" applyFill="1" applyBorder="1" applyAlignment="1">
      <alignment vertical="top"/>
    </xf>
    <xf numFmtId="0" fontId="67" fillId="0" borderId="35" xfId="0" applyFont="1" applyBorder="1" applyAlignment="1">
      <alignment vertical="top" wrapText="1"/>
    </xf>
    <xf numFmtId="0" fontId="67" fillId="0" borderId="38" xfId="0" applyFont="1" applyBorder="1" applyAlignment="1">
      <alignment vertical="top" wrapText="1"/>
    </xf>
    <xf numFmtId="0" fontId="67" fillId="0" borderId="40" xfId="0" applyFont="1" applyBorder="1" applyAlignment="1">
      <alignment vertical="top" wrapText="1"/>
    </xf>
    <xf numFmtId="0" fontId="131" fillId="35" borderId="32" xfId="0" applyFont="1" applyFill="1" applyBorder="1" applyAlignment="1">
      <alignment vertical="top" wrapText="1"/>
    </xf>
    <xf numFmtId="0" fontId="119" fillId="35" borderId="33" xfId="0" applyFont="1" applyFill="1" applyBorder="1" applyAlignment="1">
      <alignment vertical="top" wrapText="1"/>
    </xf>
    <xf numFmtId="0" fontId="119" fillId="35" borderId="34" xfId="0" applyFont="1" applyFill="1" applyBorder="1" applyAlignment="1">
      <alignment vertical="top" wrapText="1"/>
    </xf>
    <xf numFmtId="0" fontId="67" fillId="0" borderId="44" xfId="0" applyFont="1" applyBorder="1" applyAlignment="1">
      <alignment vertical="top"/>
    </xf>
    <xf numFmtId="0" fontId="67" fillId="0" borderId="43" xfId="0" applyFont="1" applyBorder="1" applyAlignment="1">
      <alignment vertical="top"/>
    </xf>
    <xf numFmtId="0" fontId="67" fillId="0" borderId="45" xfId="0" applyFont="1" applyBorder="1" applyAlignment="1">
      <alignment vertical="top"/>
    </xf>
    <xf numFmtId="0" fontId="119" fillId="35" borderId="27" xfId="0" applyFont="1" applyFill="1" applyBorder="1" applyAlignment="1">
      <alignment vertical="top" wrapText="1"/>
    </xf>
    <xf numFmtId="0" fontId="119" fillId="35" borderId="28" xfId="0" applyFont="1" applyFill="1" applyBorder="1" applyAlignment="1">
      <alignment vertical="top" wrapText="1"/>
    </xf>
    <xf numFmtId="0" fontId="119" fillId="35" borderId="29" xfId="0" applyFont="1" applyFill="1" applyBorder="1" applyAlignment="1">
      <alignment vertical="top" wrapText="1"/>
    </xf>
    <xf numFmtId="0" fontId="121" fillId="35" borderId="30" xfId="0" applyFont="1" applyFill="1" applyBorder="1" applyAlignment="1">
      <alignment vertical="top" wrapText="1"/>
    </xf>
    <xf numFmtId="0" fontId="131" fillId="35" borderId="0" xfId="0" applyFont="1" applyFill="1" applyBorder="1" applyAlignment="1">
      <alignment vertical="top" wrapText="1"/>
    </xf>
    <xf numFmtId="0" fontId="131" fillId="35" borderId="31" xfId="0" applyFont="1" applyFill="1" applyBorder="1" applyAlignment="1">
      <alignment vertical="top" wrapText="1"/>
    </xf>
    <xf numFmtId="0" fontId="119" fillId="35" borderId="30" xfId="0" applyFont="1" applyFill="1" applyBorder="1" applyAlignment="1">
      <alignment vertical="top" wrapText="1"/>
    </xf>
    <xf numFmtId="0" fontId="119" fillId="35" borderId="0" xfId="0" applyFont="1" applyFill="1" applyBorder="1" applyAlignment="1">
      <alignment vertical="top" wrapText="1"/>
    </xf>
    <xf numFmtId="0" fontId="119" fillId="35" borderId="31" xfId="0" applyFont="1" applyFill="1" applyBorder="1" applyAlignment="1">
      <alignment vertical="top" wrapText="1"/>
    </xf>
    <xf numFmtId="0" fontId="131" fillId="35" borderId="30" xfId="0" applyFont="1" applyFill="1" applyBorder="1" applyAlignment="1">
      <alignment vertical="top" wrapText="1"/>
    </xf>
    <xf numFmtId="0" fontId="38" fillId="0" borderId="23" xfId="0" applyFont="1" applyFill="1" applyBorder="1" applyAlignment="1">
      <alignment horizontal="right" vertical="top"/>
    </xf>
    <xf numFmtId="0" fontId="38" fillId="0" borderId="12" xfId="0" applyFont="1" applyFill="1" applyBorder="1" applyAlignment="1">
      <alignment horizontal="right" vertical="top"/>
    </xf>
    <xf numFmtId="0" fontId="38" fillId="0" borderId="15" xfId="0" applyFont="1" applyFill="1" applyBorder="1" applyAlignment="1">
      <alignment horizontal="right" vertical="top"/>
    </xf>
    <xf numFmtId="0" fontId="38" fillId="0" borderId="24" xfId="0" applyFont="1" applyFill="1" applyBorder="1" applyAlignment="1">
      <alignment horizontal="right" vertical="top"/>
    </xf>
    <xf numFmtId="0" fontId="38" fillId="0" borderId="0" xfId="0" applyFont="1" applyFill="1" applyBorder="1" applyAlignment="1">
      <alignment horizontal="right" vertical="top"/>
    </xf>
    <xf numFmtId="0" fontId="38" fillId="0" borderId="18" xfId="0" applyFont="1" applyFill="1" applyBorder="1" applyAlignment="1">
      <alignment horizontal="right" vertical="top"/>
    </xf>
    <xf numFmtId="0" fontId="38" fillId="0" borderId="22" xfId="0" applyFont="1" applyFill="1" applyBorder="1" applyAlignment="1">
      <alignment horizontal="right" vertical="top"/>
    </xf>
    <xf numFmtId="0" fontId="38" fillId="0" borderId="13" xfId="0" applyFont="1" applyFill="1" applyBorder="1" applyAlignment="1">
      <alignment horizontal="right" vertical="top"/>
    </xf>
    <xf numFmtId="0" fontId="38" fillId="0" borderId="16" xfId="0" applyFont="1" applyFill="1" applyBorder="1" applyAlignment="1">
      <alignment horizontal="right" vertical="top"/>
    </xf>
    <xf numFmtId="0" fontId="90" fillId="0" borderId="10" xfId="0" applyFont="1" applyFill="1" applyBorder="1" applyAlignment="1">
      <alignment horizontal="left" vertical="top"/>
    </xf>
    <xf numFmtId="0" fontId="90" fillId="0" borderId="11" xfId="0" applyFont="1" applyFill="1" applyBorder="1" applyAlignment="1">
      <alignment horizontal="left" vertical="top"/>
    </xf>
    <xf numFmtId="0" fontId="90" fillId="0" borderId="14" xfId="0" applyFont="1" applyFill="1" applyBorder="1" applyAlignment="1">
      <alignment horizontal="left" vertical="top"/>
    </xf>
    <xf numFmtId="0" fontId="38" fillId="0" borderId="19" xfId="0" applyFont="1" applyFill="1" applyBorder="1" applyAlignment="1">
      <alignment horizontal="left" vertical="top" wrapText="1"/>
    </xf>
    <xf numFmtId="0" fontId="38" fillId="0" borderId="17" xfId="0" applyFont="1" applyFill="1" applyBorder="1" applyAlignment="1">
      <alignment horizontal="left" vertical="top" wrapText="1"/>
    </xf>
    <xf numFmtId="0" fontId="38" fillId="0" borderId="10" xfId="0" applyFont="1" applyFill="1" applyBorder="1" applyAlignment="1">
      <alignment horizontal="left" vertical="top" wrapText="1"/>
    </xf>
    <xf numFmtId="0" fontId="38" fillId="0" borderId="11" xfId="0" applyFont="1" applyFill="1" applyBorder="1" applyAlignment="1">
      <alignment horizontal="left" vertical="top" wrapText="1"/>
    </xf>
    <xf numFmtId="0" fontId="38" fillId="0" borderId="14" xfId="0" applyFont="1" applyFill="1" applyBorder="1" applyAlignment="1">
      <alignment horizontal="left" vertical="top" wrapText="1"/>
    </xf>
    <xf numFmtId="0" fontId="38" fillId="0" borderId="10" xfId="0" applyFont="1" applyFill="1" applyBorder="1" applyAlignment="1">
      <alignment horizontal="left" vertical="top"/>
    </xf>
    <xf numFmtId="0" fontId="38" fillId="0" borderId="11" xfId="0" applyFont="1" applyFill="1" applyBorder="1" applyAlignment="1">
      <alignment horizontal="left" vertical="top"/>
    </xf>
    <xf numFmtId="0" fontId="38" fillId="0" borderId="14" xfId="0" applyFont="1" applyFill="1" applyBorder="1" applyAlignment="1">
      <alignment horizontal="left" vertical="top"/>
    </xf>
    <xf numFmtId="0" fontId="90" fillId="0" borderId="10" xfId="0" applyFont="1" applyFill="1" applyBorder="1" applyAlignment="1">
      <alignment horizontal="left" vertical="top" wrapText="1"/>
    </xf>
    <xf numFmtId="0" fontId="90" fillId="0" borderId="11" xfId="0" applyFont="1" applyFill="1" applyBorder="1" applyAlignment="1">
      <alignment horizontal="left" vertical="top" wrapText="1"/>
    </xf>
    <xf numFmtId="0" fontId="90" fillId="0" borderId="14" xfId="0" applyFont="1" applyFill="1" applyBorder="1" applyAlignment="1">
      <alignment horizontal="left" vertical="top" wrapText="1"/>
    </xf>
    <xf numFmtId="0" fontId="38" fillId="59" borderId="22" xfId="0" applyFont="1" applyFill="1" applyBorder="1" applyAlignment="1">
      <alignment horizontal="right" vertical="top" wrapText="1"/>
    </xf>
    <xf numFmtId="0" fontId="38" fillId="59" borderId="13" xfId="0" applyFont="1" applyFill="1" applyBorder="1" applyAlignment="1">
      <alignment horizontal="right" vertical="top" wrapText="1"/>
    </xf>
    <xf numFmtId="0" fontId="38" fillId="59" borderId="16" xfId="0" applyFont="1" applyFill="1" applyBorder="1" applyAlignment="1">
      <alignment horizontal="right" vertical="top" wrapText="1"/>
    </xf>
    <xf numFmtId="0" fontId="90" fillId="0" borderId="19" xfId="0" applyFont="1" applyFill="1" applyBorder="1" applyAlignment="1">
      <alignment horizontal="center" vertical="top" wrapText="1"/>
    </xf>
    <xf numFmtId="0" fontId="90" fillId="0" borderId="17" xfId="0" applyFont="1" applyFill="1" applyBorder="1" applyAlignment="1">
      <alignment horizontal="center" vertical="top" wrapText="1"/>
    </xf>
    <xf numFmtId="0" fontId="38" fillId="0" borderId="21" xfId="0" applyFont="1" applyFill="1" applyBorder="1" applyAlignment="1">
      <alignment horizontal="left" vertical="top" wrapText="1"/>
    </xf>
    <xf numFmtId="49" fontId="90" fillId="0" borderId="10" xfId="0" applyNumberFormat="1" applyFont="1" applyFill="1" applyBorder="1" applyAlignment="1">
      <alignment horizontal="center" vertical="top"/>
    </xf>
    <xf numFmtId="49" fontId="90" fillId="0" borderId="11" xfId="0" applyNumberFormat="1" applyFont="1" applyFill="1" applyBorder="1" applyAlignment="1">
      <alignment horizontal="center" vertical="top"/>
    </xf>
    <xf numFmtId="49" fontId="90" fillId="0" borderId="14" xfId="0" applyNumberFormat="1" applyFont="1" applyFill="1" applyBorder="1" applyAlignment="1">
      <alignment horizontal="center" vertical="top"/>
    </xf>
    <xf numFmtId="0" fontId="90" fillId="0" borderId="10" xfId="0" applyFont="1" applyFill="1" applyBorder="1" applyAlignment="1">
      <alignment horizontal="center" vertical="top" wrapText="1"/>
    </xf>
    <xf numFmtId="0" fontId="90" fillId="0" borderId="11" xfId="0" applyFont="1" applyFill="1" applyBorder="1" applyAlignment="1">
      <alignment horizontal="center" vertical="top" wrapText="1"/>
    </xf>
    <xf numFmtId="0" fontId="90" fillId="0" borderId="14" xfId="0" applyFont="1" applyFill="1" applyBorder="1" applyAlignment="1">
      <alignment horizontal="center" vertical="top" wrapText="1"/>
    </xf>
    <xf numFmtId="9" fontId="38" fillId="0" borderId="10" xfId="0" applyNumberFormat="1" applyFont="1" applyFill="1" applyBorder="1" applyAlignment="1">
      <alignment horizontal="left" vertical="top"/>
    </xf>
    <xf numFmtId="9" fontId="38" fillId="0" borderId="11" xfId="0" applyNumberFormat="1" applyFont="1" applyFill="1" applyBorder="1" applyAlignment="1">
      <alignment horizontal="left" vertical="top"/>
    </xf>
    <xf numFmtId="9" fontId="38" fillId="0" borderId="14" xfId="0" applyNumberFormat="1" applyFont="1" applyFill="1" applyBorder="1" applyAlignment="1">
      <alignment horizontal="left" vertical="top"/>
    </xf>
    <xf numFmtId="0" fontId="38" fillId="0" borderId="22" xfId="0" applyFont="1" applyFill="1" applyBorder="1" applyAlignment="1">
      <alignment horizontal="left" vertical="top" wrapText="1"/>
    </xf>
    <xf numFmtId="0" fontId="38" fillId="0" borderId="13" xfId="0" applyFont="1" applyFill="1" applyBorder="1" applyAlignment="1">
      <alignment horizontal="left" vertical="top" wrapText="1"/>
    </xf>
    <xf numFmtId="0" fontId="38" fillId="0" borderId="16" xfId="0" applyFont="1" applyFill="1" applyBorder="1" applyAlignment="1">
      <alignment horizontal="left" vertical="top" wrapText="1"/>
    </xf>
    <xf numFmtId="0" fontId="38" fillId="0" borderId="23" xfId="0" applyFont="1" applyFill="1" applyBorder="1" applyAlignment="1">
      <alignment horizontal="left" vertical="top" wrapText="1"/>
    </xf>
    <xf numFmtId="0" fontId="38" fillId="0" borderId="12" xfId="0" applyFont="1" applyFill="1" applyBorder="1" applyAlignment="1">
      <alignment horizontal="left" vertical="top" wrapText="1"/>
    </xf>
    <xf numFmtId="0" fontId="38" fillId="0" borderId="15" xfId="0" applyFont="1" applyFill="1" applyBorder="1" applyAlignment="1">
      <alignment horizontal="left" vertical="top" wrapText="1"/>
    </xf>
    <xf numFmtId="0" fontId="38" fillId="59" borderId="10" xfId="0" applyFont="1" applyFill="1" applyBorder="1" applyAlignment="1">
      <alignment horizontal="left" vertical="top" wrapText="1"/>
    </xf>
    <xf numFmtId="0" fontId="38" fillId="59" borderId="11" xfId="0" applyFont="1" applyFill="1" applyBorder="1" applyAlignment="1">
      <alignment horizontal="left" vertical="top" wrapText="1"/>
    </xf>
    <xf numFmtId="0" fontId="38" fillId="59" borderId="14" xfId="0" applyFont="1" applyFill="1" applyBorder="1" applyAlignment="1">
      <alignment horizontal="left" vertical="top" wrapText="1"/>
    </xf>
    <xf numFmtId="0" fontId="136" fillId="0" borderId="0" xfId="0" applyFont="1" applyFill="1" applyAlignment="1">
      <alignment horizontal="left" vertical="top"/>
    </xf>
    <xf numFmtId="0" fontId="123" fillId="33" borderId="19" xfId="0" applyFont="1" applyFill="1" applyBorder="1" applyAlignment="1">
      <alignment horizontal="center" vertical="center" wrapText="1"/>
    </xf>
    <xf numFmtId="0" fontId="123" fillId="33" borderId="17" xfId="0" applyFont="1" applyFill="1" applyBorder="1" applyAlignment="1">
      <alignment horizontal="center" vertical="center" wrapText="1"/>
    </xf>
    <xf numFmtId="0" fontId="123" fillId="33" borderId="10" xfId="0" applyFont="1" applyFill="1" applyBorder="1" applyAlignment="1">
      <alignment horizontal="center" vertical="center"/>
    </xf>
    <xf numFmtId="0" fontId="123" fillId="33" borderId="11" xfId="0" applyFont="1" applyFill="1" applyBorder="1" applyAlignment="1">
      <alignment horizontal="center" vertical="center"/>
    </xf>
    <xf numFmtId="0" fontId="123" fillId="33" borderId="14" xfId="0" applyFont="1" applyFill="1" applyBorder="1" applyAlignment="1">
      <alignment horizontal="center" vertical="center"/>
    </xf>
    <xf numFmtId="0" fontId="123" fillId="34" borderId="10" xfId="0" applyFont="1" applyFill="1" applyBorder="1" applyAlignment="1">
      <alignment horizontal="center" vertical="top"/>
    </xf>
    <xf numFmtId="0" fontId="123" fillId="34" borderId="11" xfId="0" applyFont="1" applyFill="1" applyBorder="1" applyAlignment="1">
      <alignment horizontal="center" vertical="top"/>
    </xf>
    <xf numFmtId="0" fontId="123" fillId="34" borderId="14" xfId="0" applyFont="1" applyFill="1" applyBorder="1" applyAlignment="1">
      <alignment horizontal="center" vertical="top"/>
    </xf>
    <xf numFmtId="0" fontId="68" fillId="34" borderId="10" xfId="0" applyFont="1" applyFill="1" applyBorder="1" applyAlignment="1">
      <alignment horizontal="center" vertical="top"/>
    </xf>
    <xf numFmtId="0" fontId="68" fillId="34" borderId="11" xfId="0" applyFont="1" applyFill="1" applyBorder="1" applyAlignment="1">
      <alignment horizontal="center" vertical="top"/>
    </xf>
    <xf numFmtId="0" fontId="68" fillId="34" borderId="14" xfId="0" applyFont="1" applyFill="1" applyBorder="1" applyAlignment="1">
      <alignment horizontal="center" vertical="top"/>
    </xf>
    <xf numFmtId="0" fontId="83" fillId="40" borderId="49" xfId="0" applyFont="1" applyFill="1" applyBorder="1" applyAlignment="1">
      <alignment horizontal="left" vertical="top" wrapText="1"/>
    </xf>
    <xf numFmtId="0" fontId="83" fillId="40" borderId="50" xfId="0" applyFont="1" applyFill="1" applyBorder="1" applyAlignment="1">
      <alignment horizontal="left" vertical="top" wrapText="1"/>
    </xf>
    <xf numFmtId="0" fontId="82" fillId="0" borderId="46" xfId="0" applyFont="1" applyBorder="1" applyAlignment="1">
      <alignment horizontal="left" vertical="top" wrapText="1"/>
    </xf>
    <xf numFmtId="0" fontId="82" fillId="0" borderId="48" xfId="0" applyFont="1" applyBorder="1" applyAlignment="1">
      <alignment horizontal="left" vertical="top" wrapText="1"/>
    </xf>
    <xf numFmtId="0" fontId="82" fillId="0" borderId="51" xfId="0" applyFont="1" applyBorder="1" applyAlignment="1">
      <alignment horizontal="left" vertical="top" wrapText="1"/>
    </xf>
    <xf numFmtId="0" fontId="82" fillId="0" borderId="0" xfId="0" applyFont="1" applyBorder="1" applyAlignment="1">
      <alignment horizontal="left" vertical="top" wrapText="1"/>
    </xf>
    <xf numFmtId="0" fontId="82" fillId="0" borderId="49" xfId="0" applyFont="1" applyBorder="1" applyAlignment="1">
      <alignment horizontal="left" vertical="top" wrapText="1"/>
    </xf>
    <xf numFmtId="0" fontId="82" fillId="0" borderId="50" xfId="0" applyFont="1" applyBorder="1" applyAlignment="1">
      <alignment horizontal="left" vertical="top" wrapText="1"/>
    </xf>
    <xf numFmtId="0" fontId="83" fillId="33" borderId="19" xfId="0" applyFont="1" applyFill="1" applyBorder="1" applyAlignment="1">
      <alignment horizontal="left" vertical="top" wrapText="1"/>
    </xf>
    <xf numFmtId="0" fontId="83" fillId="33" borderId="17" xfId="0" applyFont="1" applyFill="1" applyBorder="1" applyAlignment="1">
      <alignment horizontal="left" vertical="top" wrapText="1"/>
    </xf>
    <xf numFmtId="0" fontId="83" fillId="0" borderId="44" xfId="0" applyFont="1" applyBorder="1" applyAlignment="1">
      <alignment horizontal="center" vertical="center" wrapText="1"/>
    </xf>
    <xf numFmtId="0" fontId="83" fillId="0" borderId="43" xfId="0" applyFont="1" applyBorder="1" applyAlignment="1">
      <alignment horizontal="center" vertical="center" wrapText="1"/>
    </xf>
    <xf numFmtId="0" fontId="97" fillId="0" borderId="0" xfId="0" applyFont="1" applyAlignment="1">
      <alignment horizontal="center" vertical="top"/>
    </xf>
    <xf numFmtId="0" fontId="83" fillId="35" borderId="0" xfId="0" applyFont="1" applyFill="1" applyAlignment="1">
      <alignment horizontal="center" vertical="top"/>
    </xf>
    <xf numFmtId="0" fontId="83" fillId="39" borderId="44" xfId="0" applyFont="1" applyFill="1" applyBorder="1" applyAlignment="1">
      <alignment horizontal="center" vertical="center" wrapText="1"/>
    </xf>
    <xf numFmtId="0" fontId="83" fillId="39" borderId="43" xfId="0" applyFont="1" applyFill="1" applyBorder="1" applyAlignment="1">
      <alignment horizontal="center" vertical="center" wrapText="1"/>
    </xf>
    <xf numFmtId="49" fontId="82" fillId="0" borderId="46" xfId="0" applyNumberFormat="1" applyFont="1" applyFill="1" applyBorder="1" applyAlignment="1">
      <alignment horizontal="center" vertical="center"/>
    </xf>
    <xf numFmtId="49" fontId="82" fillId="0" borderId="48" xfId="0" applyNumberFormat="1" applyFont="1" applyFill="1" applyBorder="1" applyAlignment="1">
      <alignment horizontal="center" vertical="center"/>
    </xf>
    <xf numFmtId="0" fontId="83" fillId="39" borderId="44" xfId="0" applyFont="1" applyFill="1" applyBorder="1" applyAlignment="1">
      <alignment horizontal="center" vertical="center"/>
    </xf>
    <xf numFmtId="0" fontId="83" fillId="39" borderId="43" xfId="0" applyFont="1" applyFill="1" applyBorder="1" applyAlignment="1">
      <alignment horizontal="center" vertical="center"/>
    </xf>
    <xf numFmtId="0" fontId="93" fillId="33" borderId="19" xfId="0" applyFont="1" applyFill="1" applyBorder="1" applyAlignment="1">
      <alignment horizontal="left" vertical="top" wrapText="1"/>
    </xf>
    <xf numFmtId="0" fontId="93" fillId="33" borderId="17" xfId="0" applyFont="1" applyFill="1" applyBorder="1" applyAlignment="1">
      <alignment horizontal="left" vertical="top" wrapText="1"/>
    </xf>
    <xf numFmtId="0" fontId="97" fillId="34" borderId="10" xfId="0" applyFont="1" applyFill="1" applyBorder="1" applyAlignment="1">
      <alignment horizontal="left" vertical="top" wrapText="1"/>
    </xf>
    <xf numFmtId="0" fontId="97" fillId="34" borderId="11" xfId="0" applyFont="1" applyFill="1" applyBorder="1" applyAlignment="1">
      <alignment horizontal="left" vertical="top" wrapText="1"/>
    </xf>
    <xf numFmtId="0" fontId="97" fillId="34" borderId="14" xfId="0" applyFont="1" applyFill="1" applyBorder="1" applyAlignment="1">
      <alignment horizontal="left" vertical="top" wrapText="1"/>
    </xf>
    <xf numFmtId="0" fontId="97" fillId="34" borderId="10" xfId="0" applyFont="1" applyFill="1" applyBorder="1" applyAlignment="1">
      <alignment horizontal="left" vertical="top"/>
    </xf>
    <xf numFmtId="0" fontId="97" fillId="34" borderId="11" xfId="0" applyFont="1" applyFill="1" applyBorder="1" applyAlignment="1">
      <alignment horizontal="left" vertical="top"/>
    </xf>
    <xf numFmtId="0" fontId="97" fillId="34" borderId="14" xfId="0" applyFont="1" applyFill="1" applyBorder="1" applyAlignment="1">
      <alignment horizontal="left" vertical="top"/>
    </xf>
    <xf numFmtId="0" fontId="83" fillId="39" borderId="10" xfId="0" applyFont="1" applyFill="1" applyBorder="1" applyAlignment="1">
      <alignment horizontal="center" vertical="center"/>
    </xf>
    <xf numFmtId="0" fontId="83" fillId="39" borderId="11" xfId="0" applyFont="1" applyFill="1" applyBorder="1" applyAlignment="1">
      <alignment horizontal="center" vertical="center"/>
    </xf>
    <xf numFmtId="0" fontId="83" fillId="39" borderId="14" xfId="0" applyFont="1" applyFill="1" applyBorder="1" applyAlignment="1">
      <alignment horizontal="center" vertical="center"/>
    </xf>
    <xf numFmtId="0" fontId="97" fillId="39" borderId="10" xfId="0" applyFont="1" applyFill="1" applyBorder="1" applyAlignment="1">
      <alignment horizontal="center" vertical="center" wrapText="1"/>
    </xf>
    <xf numFmtId="0" fontId="97" fillId="39" borderId="11" xfId="0" applyFont="1" applyFill="1" applyBorder="1" applyAlignment="1">
      <alignment horizontal="center" vertical="center" wrapText="1"/>
    </xf>
    <xf numFmtId="0" fontId="97" fillId="39" borderId="14" xfId="0" applyFont="1" applyFill="1" applyBorder="1" applyAlignment="1">
      <alignment horizontal="center" vertical="center" wrapText="1"/>
    </xf>
    <xf numFmtId="9" fontId="93" fillId="34" borderId="23" xfId="0" applyNumberFormat="1" applyFont="1" applyFill="1" applyBorder="1" applyAlignment="1">
      <alignment horizontal="center" vertical="center"/>
    </xf>
    <xf numFmtId="9" fontId="93" fillId="34" borderId="12" xfId="0" applyNumberFormat="1" applyFont="1" applyFill="1" applyBorder="1" applyAlignment="1">
      <alignment horizontal="center" vertical="center"/>
    </xf>
    <xf numFmtId="9" fontId="93" fillId="34" borderId="15" xfId="0" applyNumberFormat="1" applyFont="1" applyFill="1" applyBorder="1" applyAlignment="1">
      <alignment horizontal="center" vertical="center"/>
    </xf>
    <xf numFmtId="0" fontId="97" fillId="39" borderId="25" xfId="0" applyFont="1" applyFill="1" applyBorder="1" applyAlignment="1">
      <alignment horizontal="center" vertical="center" wrapText="1"/>
    </xf>
    <xf numFmtId="0" fontId="93" fillId="33" borderId="107" xfId="0" applyFont="1" applyFill="1" applyBorder="1" applyAlignment="1">
      <alignment horizontal="left" vertical="top" wrapText="1"/>
    </xf>
    <xf numFmtId="0" fontId="93" fillId="33" borderId="108" xfId="0" applyFont="1" applyFill="1" applyBorder="1" applyAlignment="1">
      <alignment horizontal="left" vertical="top" wrapText="1"/>
    </xf>
    <xf numFmtId="0" fontId="82" fillId="39" borderId="25" xfId="0" applyFont="1" applyFill="1" applyBorder="1" applyAlignment="1">
      <alignment horizontal="center" vertical="center" wrapText="1"/>
    </xf>
    <xf numFmtId="0" fontId="82" fillId="0" borderId="25" xfId="0" applyFont="1" applyBorder="1" applyAlignment="1">
      <alignment horizontal="center" vertical="center" wrapText="1"/>
    </xf>
    <xf numFmtId="0" fontId="83" fillId="39" borderId="25" xfId="0" applyFont="1" applyFill="1" applyBorder="1" applyAlignment="1">
      <alignment horizontal="center" vertical="center"/>
    </xf>
    <xf numFmtId="0" fontId="97" fillId="41" borderId="10" xfId="0" applyFont="1" applyFill="1" applyBorder="1" applyAlignment="1">
      <alignment horizontal="center" vertical="center"/>
    </xf>
    <xf numFmtId="0" fontId="97" fillId="41" borderId="11" xfId="0" applyFont="1" applyFill="1" applyBorder="1" applyAlignment="1">
      <alignment horizontal="center" vertical="center"/>
    </xf>
    <xf numFmtId="0" fontId="97" fillId="41" borderId="14" xfId="0" applyFont="1" applyFill="1" applyBorder="1" applyAlignment="1">
      <alignment horizontal="center" vertical="center"/>
    </xf>
    <xf numFmtId="0" fontId="83" fillId="34" borderId="10" xfId="0" applyFont="1" applyFill="1" applyBorder="1" applyAlignment="1">
      <alignment horizontal="left" vertical="top" wrapText="1"/>
    </xf>
    <xf numFmtId="0" fontId="83" fillId="34" borderId="11" xfId="0" applyFont="1" applyFill="1" applyBorder="1" applyAlignment="1">
      <alignment horizontal="left" vertical="top" wrapText="1"/>
    </xf>
    <xf numFmtId="0" fontId="83" fillId="34" borderId="14" xfId="0" applyFont="1" applyFill="1" applyBorder="1" applyAlignment="1">
      <alignment horizontal="left" vertical="top" wrapText="1"/>
    </xf>
    <xf numFmtId="0" fontId="83" fillId="33" borderId="25" xfId="0" applyFont="1" applyFill="1" applyBorder="1" applyAlignment="1">
      <alignment horizontal="left" vertical="top"/>
    </xf>
    <xf numFmtId="0" fontId="117" fillId="33" borderId="25" xfId="0" applyFont="1" applyFill="1" applyBorder="1" applyAlignment="1">
      <alignment horizontal="left" vertical="top"/>
    </xf>
    <xf numFmtId="0" fontId="93" fillId="33" borderId="109" xfId="0" applyFont="1" applyFill="1" applyBorder="1" applyAlignment="1">
      <alignment horizontal="left" vertical="top" wrapText="1"/>
    </xf>
    <xf numFmtId="0" fontId="93" fillId="33" borderId="54" xfId="0" applyFont="1" applyFill="1" applyBorder="1" applyAlignment="1">
      <alignment horizontal="left" vertical="top" wrapText="1"/>
    </xf>
    <xf numFmtId="0" fontId="82" fillId="0" borderId="25" xfId="0" applyFont="1" applyBorder="1" applyAlignment="1">
      <alignment horizontal="left" vertical="top" wrapText="1"/>
    </xf>
    <xf numFmtId="0" fontId="82" fillId="0" borderId="60" xfId="0" applyFont="1" applyBorder="1" applyAlignment="1">
      <alignment horizontal="left" vertical="top" wrapText="1"/>
    </xf>
    <xf numFmtId="0" fontId="82" fillId="0" borderId="61" xfId="0" applyFont="1" applyBorder="1" applyAlignment="1">
      <alignment horizontal="left" vertical="top" wrapText="1"/>
    </xf>
    <xf numFmtId="0" fontId="82" fillId="0" borderId="62" xfId="0" applyFont="1" applyBorder="1" applyAlignment="1">
      <alignment horizontal="left" vertical="top" wrapText="1"/>
    </xf>
    <xf numFmtId="0" fontId="93" fillId="39" borderId="25" xfId="0" applyFont="1" applyFill="1" applyBorder="1" applyAlignment="1">
      <alignment horizontal="center" vertical="center" wrapText="1"/>
    </xf>
    <xf numFmtId="0" fontId="93" fillId="33" borderId="25" xfId="0" applyFont="1" applyFill="1" applyBorder="1" applyAlignment="1">
      <alignment horizontal="center" vertical="center"/>
    </xf>
    <xf numFmtId="0" fontId="97" fillId="33" borderId="10" xfId="0" applyFont="1" applyFill="1" applyBorder="1" applyAlignment="1">
      <alignment horizontal="left" vertical="top" wrapText="1"/>
    </xf>
    <xf numFmtId="0" fontId="97" fillId="33" borderId="11" xfId="0" applyFont="1" applyFill="1" applyBorder="1" applyAlignment="1">
      <alignment horizontal="left" vertical="top" wrapText="1"/>
    </xf>
    <xf numFmtId="0" fontId="97" fillId="33" borderId="14" xfId="0" applyFont="1" applyFill="1" applyBorder="1" applyAlignment="1">
      <alignment horizontal="left" vertical="top" wrapText="1"/>
    </xf>
    <xf numFmtId="0" fontId="93" fillId="33" borderId="10" xfId="0" applyFont="1" applyFill="1" applyBorder="1" applyAlignment="1">
      <alignment horizontal="left" vertical="center"/>
    </xf>
    <xf numFmtId="0" fontId="93" fillId="33" borderId="11" xfId="0" applyFont="1" applyFill="1" applyBorder="1" applyAlignment="1">
      <alignment horizontal="left" vertical="center"/>
    </xf>
    <xf numFmtId="0" fontId="93" fillId="33" borderId="14" xfId="0" applyFont="1" applyFill="1" applyBorder="1" applyAlignment="1">
      <alignment horizontal="left" vertical="center"/>
    </xf>
    <xf numFmtId="0" fontId="97" fillId="34" borderId="23" xfId="0" applyFont="1" applyFill="1" applyBorder="1" applyAlignment="1">
      <alignment horizontal="left" vertical="top"/>
    </xf>
    <xf numFmtId="0" fontId="97" fillId="34" borderId="12" xfId="0" applyFont="1" applyFill="1" applyBorder="1" applyAlignment="1">
      <alignment horizontal="left" vertical="top"/>
    </xf>
    <xf numFmtId="0" fontId="97" fillId="34" borderId="15" xfId="0" applyFont="1" applyFill="1" applyBorder="1" applyAlignment="1">
      <alignment horizontal="left" vertical="top"/>
    </xf>
    <xf numFmtId="0" fontId="97" fillId="39" borderId="25" xfId="0" applyFont="1" applyFill="1" applyBorder="1" applyAlignment="1">
      <alignment horizontal="left" vertical="center" wrapText="1"/>
    </xf>
    <xf numFmtId="0" fontId="93" fillId="33" borderId="21" xfId="0" applyFont="1" applyFill="1" applyBorder="1" applyAlignment="1">
      <alignment horizontal="left" vertical="top" wrapText="1"/>
    </xf>
    <xf numFmtId="0" fontId="97" fillId="0" borderId="10" xfId="0" applyFont="1" applyFill="1" applyBorder="1" applyAlignment="1">
      <alignment horizontal="left" vertical="center" wrapText="1"/>
    </xf>
    <xf numFmtId="0" fontId="97" fillId="0" borderId="11" xfId="0" applyFont="1" applyFill="1" applyBorder="1" applyAlignment="1">
      <alignment horizontal="left" vertical="center" wrapText="1"/>
    </xf>
    <xf numFmtId="0" fontId="93" fillId="0" borderId="10" xfId="0" applyFont="1" applyFill="1" applyBorder="1" applyAlignment="1">
      <alignment horizontal="left" vertical="center" wrapText="1"/>
    </xf>
    <xf numFmtId="0" fontId="93" fillId="0" borderId="11" xfId="0" applyFont="1" applyFill="1" applyBorder="1" applyAlignment="1">
      <alignment horizontal="left" vertical="center" wrapText="1"/>
    </xf>
    <xf numFmtId="0" fontId="93" fillId="0" borderId="14" xfId="0" applyFont="1" applyFill="1" applyBorder="1" applyAlignment="1">
      <alignment horizontal="left" vertical="center" wrapText="1"/>
    </xf>
    <xf numFmtId="0" fontId="93" fillId="41" borderId="10" xfId="0" applyFont="1" applyFill="1" applyBorder="1" applyAlignment="1">
      <alignment horizontal="left" vertical="top" wrapText="1"/>
    </xf>
    <xf numFmtId="0" fontId="93" fillId="41" borderId="11" xfId="0" applyFont="1" applyFill="1" applyBorder="1" applyAlignment="1">
      <alignment horizontal="left" vertical="top" wrapText="1"/>
    </xf>
    <xf numFmtId="0" fontId="93" fillId="41" borderId="14" xfId="0" applyFont="1" applyFill="1" applyBorder="1" applyAlignment="1">
      <alignment horizontal="left" vertical="top" wrapText="1"/>
    </xf>
    <xf numFmtId="0" fontId="93" fillId="39" borderId="10" xfId="0" applyFont="1" applyFill="1" applyBorder="1" applyAlignment="1">
      <alignment horizontal="left" vertical="top"/>
    </xf>
    <xf numFmtId="0" fontId="93" fillId="33" borderId="25" xfId="0" applyFont="1" applyFill="1" applyBorder="1" applyAlignment="1">
      <alignment horizontal="left" vertical="top" wrapText="1"/>
    </xf>
    <xf numFmtId="0" fontId="82" fillId="36" borderId="25" xfId="0" applyFont="1" applyFill="1" applyBorder="1" applyAlignment="1">
      <alignment horizontal="left" vertical="center" wrapText="1"/>
    </xf>
    <xf numFmtId="0" fontId="93" fillId="33" borderId="24" xfId="0" applyFont="1" applyFill="1" applyBorder="1" applyAlignment="1">
      <alignment horizontal="left" vertical="top" wrapText="1"/>
    </xf>
    <xf numFmtId="0" fontId="93" fillId="33" borderId="22" xfId="0" applyFont="1" applyFill="1" applyBorder="1" applyAlignment="1">
      <alignment horizontal="left" vertical="top" wrapText="1"/>
    </xf>
    <xf numFmtId="0" fontId="93" fillId="41" borderId="10" xfId="0" applyFont="1" applyFill="1" applyBorder="1" applyAlignment="1">
      <alignment horizontal="center" vertical="center" wrapText="1"/>
    </xf>
    <xf numFmtId="0" fontId="93" fillId="41" borderId="11" xfId="0" applyFont="1" applyFill="1" applyBorder="1" applyAlignment="1">
      <alignment horizontal="center" vertical="center" wrapText="1"/>
    </xf>
    <xf numFmtId="0" fontId="93" fillId="41" borderId="14" xfId="0" applyFont="1" applyFill="1" applyBorder="1" applyAlignment="1">
      <alignment horizontal="center" vertical="center" wrapText="1"/>
    </xf>
    <xf numFmtId="0" fontId="93" fillId="41" borderId="10" xfId="0" applyFont="1" applyFill="1" applyBorder="1" applyAlignment="1">
      <alignment horizontal="left" vertical="center" wrapText="1"/>
    </xf>
    <xf numFmtId="0" fontId="93" fillId="41" borderId="11" xfId="0" applyFont="1" applyFill="1" applyBorder="1" applyAlignment="1">
      <alignment horizontal="left" vertical="center" wrapText="1"/>
    </xf>
    <xf numFmtId="0" fontId="93" fillId="41" borderId="14" xfId="0" applyFont="1" applyFill="1" applyBorder="1" applyAlignment="1">
      <alignment horizontal="left" vertical="center" wrapText="1"/>
    </xf>
    <xf numFmtId="0" fontId="94" fillId="35" borderId="30" xfId="0" applyFont="1" applyFill="1" applyBorder="1" applyAlignment="1">
      <alignment horizontal="left" vertical="top" wrapText="1"/>
    </xf>
    <xf numFmtId="0" fontId="83" fillId="0" borderId="35" xfId="0" applyFont="1" applyBorder="1" applyAlignment="1">
      <alignment horizontal="center" vertical="center" wrapText="1"/>
    </xf>
    <xf numFmtId="0" fontId="83" fillId="0" borderId="38" xfId="0" applyFont="1" applyBorder="1" applyAlignment="1">
      <alignment horizontal="center" vertical="center" wrapText="1"/>
    </xf>
    <xf numFmtId="0" fontId="83" fillId="0" borderId="40" xfId="0" applyFont="1" applyBorder="1" applyAlignment="1">
      <alignment horizontal="center" vertical="center" wrapText="1"/>
    </xf>
    <xf numFmtId="0" fontId="83" fillId="0" borderId="44" xfId="0" applyFont="1" applyBorder="1" applyAlignment="1">
      <alignment horizontal="left" vertical="top"/>
    </xf>
    <xf numFmtId="0" fontId="83" fillId="0" borderId="43" xfId="0" applyFont="1" applyBorder="1" applyAlignment="1">
      <alignment horizontal="left" vertical="top"/>
    </xf>
    <xf numFmtId="0" fontId="83" fillId="0" borderId="45" xfId="0" applyFont="1" applyBorder="1" applyAlignment="1">
      <alignment horizontal="left" vertical="top"/>
    </xf>
    <xf numFmtId="0" fontId="83" fillId="0" borderId="44" xfId="53" applyFont="1" applyBorder="1" applyAlignment="1">
      <alignment horizontal="left" vertical="top"/>
    </xf>
    <xf numFmtId="0" fontId="83" fillId="0" borderId="43" xfId="53" applyFont="1" applyBorder="1" applyAlignment="1">
      <alignment horizontal="left" vertical="top"/>
    </xf>
    <xf numFmtId="0" fontId="83" fillId="0" borderId="45" xfId="53" applyFont="1" applyBorder="1" applyAlignment="1">
      <alignment horizontal="left" vertical="top"/>
    </xf>
    <xf numFmtId="0" fontId="93" fillId="45" borderId="46" xfId="53" applyFont="1" applyFill="1" applyBorder="1" applyAlignment="1">
      <alignment horizontal="left" vertical="top" wrapText="1"/>
    </xf>
    <xf numFmtId="0" fontId="93" fillId="45" borderId="48" xfId="53" applyFont="1" applyFill="1" applyBorder="1" applyAlignment="1">
      <alignment horizontal="left" vertical="top" wrapText="1"/>
    </xf>
    <xf numFmtId="0" fontId="93" fillId="45" borderId="87" xfId="53" applyFont="1" applyFill="1" applyBorder="1" applyAlignment="1">
      <alignment horizontal="left" vertical="top" wrapText="1"/>
    </xf>
    <xf numFmtId="0" fontId="93" fillId="45" borderId="51" xfId="53" applyFont="1" applyFill="1" applyBorder="1" applyAlignment="1">
      <alignment horizontal="left" vertical="top" wrapText="1"/>
    </xf>
    <xf numFmtId="0" fontId="93" fillId="45" borderId="0" xfId="53" applyFont="1" applyFill="1" applyBorder="1" applyAlignment="1">
      <alignment horizontal="left" vertical="top" wrapText="1"/>
    </xf>
    <xf numFmtId="0" fontId="93" fillId="45" borderId="86" xfId="53" applyFont="1" applyFill="1" applyBorder="1" applyAlignment="1">
      <alignment horizontal="left" vertical="top" wrapText="1"/>
    </xf>
    <xf numFmtId="0" fontId="93" fillId="45" borderId="49" xfId="53" applyFont="1" applyFill="1" applyBorder="1" applyAlignment="1">
      <alignment horizontal="left" vertical="top" wrapText="1"/>
    </xf>
    <xf numFmtId="0" fontId="93" fillId="45" borderId="50" xfId="53" applyFont="1" applyFill="1" applyBorder="1" applyAlignment="1">
      <alignment horizontal="left" vertical="top" wrapText="1"/>
    </xf>
    <xf numFmtId="0" fontId="93" fillId="45" borderId="82" xfId="53" applyFont="1" applyFill="1" applyBorder="1" applyAlignment="1">
      <alignment horizontal="left" vertical="top" wrapText="1"/>
    </xf>
    <xf numFmtId="0" fontId="82" fillId="45" borderId="46" xfId="53" applyFont="1" applyFill="1" applyBorder="1" applyAlignment="1">
      <alignment horizontal="left" vertical="top" wrapText="1"/>
    </xf>
    <xf numFmtId="0" fontId="82" fillId="45" borderId="48" xfId="53" applyFont="1" applyFill="1" applyBorder="1" applyAlignment="1">
      <alignment horizontal="left" vertical="top" wrapText="1"/>
    </xf>
    <xf numFmtId="0" fontId="82" fillId="45" borderId="87" xfId="53" applyFont="1" applyFill="1" applyBorder="1" applyAlignment="1">
      <alignment horizontal="left" vertical="top" wrapText="1"/>
    </xf>
    <xf numFmtId="0" fontId="82" fillId="45" borderId="51" xfId="53" applyFont="1" applyFill="1" applyBorder="1" applyAlignment="1">
      <alignment horizontal="left" vertical="top" wrapText="1"/>
    </xf>
    <xf numFmtId="0" fontId="82" fillId="45" borderId="86" xfId="53" applyFont="1" applyFill="1" applyBorder="1" applyAlignment="1">
      <alignment horizontal="left" vertical="top" wrapText="1"/>
    </xf>
    <xf numFmtId="0" fontId="82" fillId="45" borderId="49" xfId="53" applyFont="1" applyFill="1" applyBorder="1" applyAlignment="1">
      <alignment horizontal="left" vertical="top" wrapText="1"/>
    </xf>
    <xf numFmtId="0" fontId="82" fillId="45" borderId="50" xfId="53" applyFont="1" applyFill="1" applyBorder="1" applyAlignment="1">
      <alignment horizontal="left" vertical="top" wrapText="1"/>
    </xf>
    <xf numFmtId="0" fontId="82" fillId="45" borderId="82" xfId="53" applyFont="1" applyFill="1" applyBorder="1" applyAlignment="1">
      <alignment horizontal="left" vertical="top" wrapText="1"/>
    </xf>
    <xf numFmtId="0" fontId="67" fillId="0" borderId="85" xfId="53" applyFont="1" applyBorder="1" applyAlignment="1">
      <alignment horizontal="center" vertical="top" wrapText="1"/>
    </xf>
    <xf numFmtId="0" fontId="67" fillId="0" borderId="84" xfId="53" applyFont="1" applyBorder="1" applyAlignment="1">
      <alignment horizontal="center" vertical="top" wrapText="1"/>
    </xf>
    <xf numFmtId="0" fontId="67" fillId="0" borderId="83" xfId="53" applyFont="1" applyBorder="1" applyAlignment="1">
      <alignment horizontal="center" vertical="top" wrapText="1"/>
    </xf>
    <xf numFmtId="0" fontId="148" fillId="33" borderId="10" xfId="0" applyFont="1" applyFill="1" applyBorder="1" applyAlignment="1">
      <alignment horizontal="left" vertical="top"/>
    </xf>
    <xf numFmtId="0" fontId="148" fillId="33" borderId="11" xfId="0" applyFont="1" applyFill="1" applyBorder="1" applyAlignment="1">
      <alignment horizontal="left" vertical="top"/>
    </xf>
    <xf numFmtId="0" fontId="148" fillId="33" borderId="14" xfId="0" applyFont="1" applyFill="1" applyBorder="1" applyAlignment="1">
      <alignment horizontal="left" vertical="top"/>
    </xf>
    <xf numFmtId="0" fontId="147" fillId="33" borderId="19" xfId="0" applyFont="1" applyFill="1" applyBorder="1" applyAlignment="1">
      <alignment horizontal="left" vertical="top" wrapText="1"/>
    </xf>
    <xf numFmtId="0" fontId="147" fillId="33" borderId="17" xfId="0" applyFont="1" applyFill="1" applyBorder="1" applyAlignment="1">
      <alignment horizontal="left" vertical="top" wrapText="1"/>
    </xf>
    <xf numFmtId="0" fontId="148" fillId="33" borderId="10" xfId="0" applyFont="1" applyFill="1" applyBorder="1" applyAlignment="1">
      <alignment horizontal="left" vertical="top" wrapText="1"/>
    </xf>
    <xf numFmtId="0" fontId="148" fillId="33" borderId="11" xfId="0" applyFont="1" applyFill="1" applyBorder="1" applyAlignment="1">
      <alignment horizontal="left" vertical="top" wrapText="1"/>
    </xf>
    <xf numFmtId="0" fontId="148" fillId="33" borderId="14" xfId="0" applyFont="1" applyFill="1" applyBorder="1" applyAlignment="1">
      <alignment horizontal="left" vertical="top" wrapText="1"/>
    </xf>
    <xf numFmtId="0" fontId="147" fillId="33" borderId="25" xfId="0" applyFont="1" applyFill="1" applyBorder="1" applyAlignment="1">
      <alignment horizontal="left" vertical="top" wrapText="1"/>
    </xf>
    <xf numFmtId="0" fontId="70" fillId="33" borderId="25" xfId="0" applyFont="1" applyFill="1" applyBorder="1" applyAlignment="1">
      <alignment horizontal="left" vertical="center" wrapText="1"/>
    </xf>
    <xf numFmtId="0" fontId="70" fillId="33" borderId="25" xfId="0" applyFont="1" applyFill="1" applyBorder="1" applyAlignment="1">
      <alignment horizontal="center" vertical="center" wrapText="1"/>
    </xf>
    <xf numFmtId="0" fontId="147" fillId="33" borderId="24" xfId="0" applyFont="1" applyFill="1" applyBorder="1" applyAlignment="1">
      <alignment horizontal="left" vertical="top" wrapText="1"/>
    </xf>
    <xf numFmtId="0" fontId="147" fillId="33" borderId="22" xfId="0" applyFont="1" applyFill="1" applyBorder="1" applyAlignment="1">
      <alignment horizontal="left" vertical="top" wrapText="1"/>
    </xf>
    <xf numFmtId="0" fontId="147" fillId="33" borderId="10" xfId="0" applyFont="1" applyFill="1" applyBorder="1" applyAlignment="1">
      <alignment horizontal="left" vertical="center"/>
    </xf>
    <xf numFmtId="0" fontId="147" fillId="33" borderId="11" xfId="0" applyFont="1" applyFill="1" applyBorder="1" applyAlignment="1">
      <alignment horizontal="left" vertical="center"/>
    </xf>
    <xf numFmtId="0" fontId="147" fillId="33" borderId="14" xfId="0" applyFont="1" applyFill="1" applyBorder="1" applyAlignment="1">
      <alignment horizontal="left" vertical="center"/>
    </xf>
    <xf numFmtId="0" fontId="148" fillId="33" borderId="23" xfId="0" applyFont="1" applyFill="1" applyBorder="1" applyAlignment="1">
      <alignment horizontal="left" vertical="top"/>
    </xf>
    <xf numFmtId="0" fontId="148" fillId="33" borderId="12" xfId="0" applyFont="1" applyFill="1" applyBorder="1" applyAlignment="1">
      <alignment horizontal="left" vertical="top"/>
    </xf>
    <xf numFmtId="0" fontId="148" fillId="33" borderId="15" xfId="0" applyFont="1" applyFill="1" applyBorder="1" applyAlignment="1">
      <alignment horizontal="left" vertical="top"/>
    </xf>
    <xf numFmtId="0" fontId="148" fillId="33" borderId="25" xfId="0" applyFont="1" applyFill="1" applyBorder="1" applyAlignment="1">
      <alignment horizontal="left" vertical="center" wrapText="1"/>
    </xf>
    <xf numFmtId="0" fontId="147" fillId="33" borderId="21" xfId="0" applyFont="1" applyFill="1" applyBorder="1" applyAlignment="1">
      <alignment horizontal="left" vertical="top" wrapText="1"/>
    </xf>
    <xf numFmtId="0" fontId="148" fillId="33" borderId="10" xfId="0" applyFont="1" applyFill="1" applyBorder="1" applyAlignment="1">
      <alignment horizontal="left" vertical="center" wrapText="1"/>
    </xf>
    <xf numFmtId="0" fontId="148" fillId="33" borderId="11" xfId="0" applyFont="1" applyFill="1" applyBorder="1" applyAlignment="1">
      <alignment horizontal="left" vertical="center" wrapText="1"/>
    </xf>
    <xf numFmtId="0" fontId="92" fillId="33" borderId="10" xfId="0" applyFont="1" applyFill="1" applyBorder="1" applyAlignment="1">
      <alignment horizontal="left" vertical="top" wrapText="1"/>
    </xf>
    <xf numFmtId="0" fontId="92" fillId="33" borderId="11" xfId="0" applyFont="1" applyFill="1" applyBorder="1" applyAlignment="1">
      <alignment horizontal="left" vertical="top" wrapText="1"/>
    </xf>
    <xf numFmtId="0" fontId="92" fillId="33" borderId="14" xfId="0" applyFont="1" applyFill="1" applyBorder="1" applyAlignment="1">
      <alignment horizontal="left" vertical="top" wrapText="1"/>
    </xf>
    <xf numFmtId="0" fontId="92" fillId="33" borderId="25" xfId="0" applyFont="1" applyFill="1" applyBorder="1" applyAlignment="1">
      <alignment horizontal="left" vertical="top"/>
    </xf>
    <xf numFmtId="0" fontId="159" fillId="33" borderId="25" xfId="0" applyFont="1" applyFill="1" applyBorder="1" applyAlignment="1">
      <alignment horizontal="left" vertical="top"/>
    </xf>
    <xf numFmtId="0" fontId="147" fillId="33" borderId="109" xfId="0" applyFont="1" applyFill="1" applyBorder="1" applyAlignment="1">
      <alignment horizontal="left" vertical="top" wrapText="1"/>
    </xf>
    <xf numFmtId="0" fontId="147" fillId="33" borderId="54" xfId="0" applyFont="1" applyFill="1" applyBorder="1" applyAlignment="1">
      <alignment horizontal="left" vertical="top" wrapText="1"/>
    </xf>
    <xf numFmtId="0" fontId="70" fillId="33" borderId="25" xfId="0" applyFont="1" applyFill="1" applyBorder="1" applyAlignment="1">
      <alignment horizontal="left" vertical="top" wrapText="1"/>
    </xf>
    <xf numFmtId="0" fontId="70" fillId="33" borderId="60" xfId="0" applyFont="1" applyFill="1" applyBorder="1" applyAlignment="1">
      <alignment horizontal="left" vertical="top" wrapText="1"/>
    </xf>
    <xf numFmtId="0" fontId="70" fillId="33" borderId="61" xfId="0" applyFont="1" applyFill="1" applyBorder="1" applyAlignment="1">
      <alignment horizontal="left" vertical="top" wrapText="1"/>
    </xf>
    <xf numFmtId="0" fontId="70" fillId="33" borderId="62" xfId="0" applyFont="1" applyFill="1" applyBorder="1" applyAlignment="1">
      <alignment horizontal="left" vertical="top" wrapText="1"/>
    </xf>
    <xf numFmtId="0" fontId="147" fillId="33" borderId="25" xfId="0" applyFont="1" applyFill="1" applyBorder="1" applyAlignment="1">
      <alignment horizontal="left" vertical="center" wrapText="1"/>
    </xf>
    <xf numFmtId="0" fontId="147" fillId="33" borderId="25" xfId="0" applyFont="1" applyFill="1" applyBorder="1" applyAlignment="1">
      <alignment horizontal="left" vertical="center"/>
    </xf>
    <xf numFmtId="0" fontId="70" fillId="33" borderId="122" xfId="0" applyFont="1" applyFill="1" applyBorder="1" applyAlignment="1">
      <alignment horizontal="left" vertical="center" wrapText="1"/>
    </xf>
    <xf numFmtId="0" fontId="70" fillId="33" borderId="114" xfId="0" applyFont="1" applyFill="1" applyBorder="1" applyAlignment="1">
      <alignment horizontal="left" vertical="center" wrapText="1"/>
    </xf>
    <xf numFmtId="0" fontId="70" fillId="33" borderId="123" xfId="0" applyFont="1" applyFill="1" applyBorder="1" applyAlignment="1">
      <alignment horizontal="left" vertical="center" wrapText="1"/>
    </xf>
    <xf numFmtId="0" fontId="148" fillId="33" borderId="14" xfId="0" applyFont="1" applyFill="1" applyBorder="1" applyAlignment="1">
      <alignment horizontal="left" vertical="center" wrapText="1"/>
    </xf>
    <xf numFmtId="9" fontId="147" fillId="33" borderId="23" xfId="0" applyNumberFormat="1" applyFont="1" applyFill="1" applyBorder="1" applyAlignment="1">
      <alignment horizontal="left" vertical="center"/>
    </xf>
    <xf numFmtId="9" fontId="147" fillId="33" borderId="12" xfId="0" applyNumberFormat="1" applyFont="1" applyFill="1" applyBorder="1" applyAlignment="1">
      <alignment horizontal="left" vertical="center"/>
    </xf>
    <xf numFmtId="9" fontId="147" fillId="33" borderId="15" xfId="0" applyNumberFormat="1" applyFont="1" applyFill="1" applyBorder="1" applyAlignment="1">
      <alignment horizontal="left" vertical="center"/>
    </xf>
    <xf numFmtId="0" fontId="147" fillId="33" borderId="107" xfId="0" applyFont="1" applyFill="1" applyBorder="1" applyAlignment="1">
      <alignment horizontal="left" vertical="top" wrapText="1"/>
    </xf>
    <xf numFmtId="0" fontId="147" fillId="33" borderId="108" xfId="0" applyFont="1" applyFill="1" applyBorder="1" applyAlignment="1">
      <alignment horizontal="left" vertical="top" wrapText="1"/>
    </xf>
    <xf numFmtId="0" fontId="92" fillId="33" borderId="10" xfId="0" applyFont="1" applyFill="1" applyBorder="1" applyAlignment="1">
      <alignment horizontal="left" vertical="center"/>
    </xf>
    <xf numFmtId="0" fontId="92" fillId="33" borderId="11" xfId="0" applyFont="1" applyFill="1" applyBorder="1" applyAlignment="1">
      <alignment horizontal="left" vertical="center"/>
    </xf>
    <xf numFmtId="0" fontId="92" fillId="33" borderId="14" xfId="0" applyFont="1" applyFill="1" applyBorder="1" applyAlignment="1">
      <alignment horizontal="left" vertical="center"/>
    </xf>
    <xf numFmtId="0" fontId="91" fillId="33" borderId="138" xfId="4" applyFont="1" applyFill="1" applyBorder="1" applyAlignment="1">
      <alignment horizontal="left" vertical="top" wrapText="1"/>
    </xf>
    <xf numFmtId="0" fontId="91" fillId="33" borderId="139" xfId="4" applyFont="1" applyFill="1" applyBorder="1" applyAlignment="1">
      <alignment horizontal="left" vertical="top" wrapText="1"/>
    </xf>
    <xf numFmtId="0" fontId="91" fillId="33" borderId="140" xfId="4" applyFont="1" applyFill="1" applyBorder="1" applyAlignment="1">
      <alignment horizontal="left" vertical="top" wrapText="1"/>
    </xf>
    <xf numFmtId="0" fontId="92" fillId="33" borderId="21" xfId="0" applyFont="1" applyFill="1" applyBorder="1" applyAlignment="1">
      <alignment horizontal="left" vertical="top" wrapText="1"/>
    </xf>
    <xf numFmtId="0" fontId="92" fillId="33" borderId="17" xfId="0" applyFont="1" applyFill="1" applyBorder="1" applyAlignment="1">
      <alignment horizontal="left" vertical="top" wrapText="1"/>
    </xf>
    <xf numFmtId="0" fontId="91" fillId="33" borderId="139" xfId="4" applyFont="1" applyFill="1" applyBorder="1" applyAlignment="1">
      <alignment horizontal="center" vertical="center" wrapText="1"/>
    </xf>
    <xf numFmtId="0" fontId="91" fillId="33" borderId="140" xfId="4" applyFont="1" applyFill="1" applyBorder="1" applyAlignment="1">
      <alignment horizontal="center" vertical="center" wrapText="1"/>
    </xf>
    <xf numFmtId="49" fontId="91" fillId="33" borderId="139" xfId="4" applyNumberFormat="1" applyFont="1" applyFill="1" applyBorder="1" applyAlignment="1">
      <alignment horizontal="center" vertical="center"/>
    </xf>
    <xf numFmtId="49" fontId="91" fillId="33" borderId="140" xfId="4" applyNumberFormat="1" applyFont="1" applyFill="1" applyBorder="1" applyAlignment="1">
      <alignment horizontal="center" vertical="center"/>
    </xf>
    <xf numFmtId="0" fontId="91" fillId="33" borderId="139" xfId="4" applyFont="1" applyFill="1" applyBorder="1" applyAlignment="1">
      <alignment horizontal="center" vertical="center"/>
    </xf>
    <xf numFmtId="0" fontId="91" fillId="33" borderId="140" xfId="4" applyFont="1" applyFill="1" applyBorder="1" applyAlignment="1">
      <alignment horizontal="center" vertical="center"/>
    </xf>
    <xf numFmtId="0" fontId="35" fillId="0" borderId="35" xfId="0" applyFont="1" applyBorder="1" applyAlignment="1">
      <alignment horizontal="center" vertical="center" wrapText="1"/>
    </xf>
    <xf numFmtId="0" fontId="35" fillId="0" borderId="38" xfId="0" applyFont="1" applyBorder="1" applyAlignment="1">
      <alignment horizontal="center" vertical="center" wrapText="1"/>
    </xf>
    <xf numFmtId="0" fontId="35" fillId="0" borderId="40" xfId="0" applyFont="1" applyBorder="1" applyAlignment="1">
      <alignment horizontal="center" vertical="center" wrapText="1"/>
    </xf>
    <xf numFmtId="0" fontId="19" fillId="34" borderId="10" xfId="0" applyFont="1" applyFill="1" applyBorder="1" applyAlignment="1">
      <alignment horizontal="center" vertical="center" wrapText="1"/>
    </xf>
    <xf numFmtId="0" fontId="19" fillId="34" borderId="11" xfId="0" applyFont="1" applyFill="1" applyBorder="1" applyAlignment="1">
      <alignment horizontal="center" vertical="center" wrapText="1"/>
    </xf>
    <xf numFmtId="0" fontId="19" fillId="34" borderId="14" xfId="0" applyFont="1" applyFill="1" applyBorder="1" applyAlignment="1">
      <alignment horizontal="center" vertical="center" wrapText="1"/>
    </xf>
    <xf numFmtId="0" fontId="22" fillId="34" borderId="10" xfId="0" applyFont="1" applyFill="1" applyBorder="1" applyAlignment="1">
      <alignment horizontal="center" vertical="center" wrapText="1"/>
    </xf>
    <xf numFmtId="0" fontId="22" fillId="34" borderId="11" xfId="0" applyFont="1" applyFill="1" applyBorder="1" applyAlignment="1">
      <alignment horizontal="center" vertical="center" wrapText="1"/>
    </xf>
    <xf numFmtId="0" fontId="22" fillId="34" borderId="14" xfId="0" applyFont="1" applyFill="1" applyBorder="1" applyAlignment="1">
      <alignment horizontal="center" vertical="center" wrapText="1"/>
    </xf>
    <xf numFmtId="9" fontId="19" fillId="34" borderId="10" xfId="0" applyNumberFormat="1" applyFont="1" applyFill="1" applyBorder="1" applyAlignment="1">
      <alignment horizontal="center" vertical="center"/>
    </xf>
    <xf numFmtId="9" fontId="19" fillId="34" borderId="11" xfId="0" applyNumberFormat="1" applyFont="1" applyFill="1" applyBorder="1" applyAlignment="1">
      <alignment horizontal="center" vertical="center"/>
    </xf>
    <xf numFmtId="9" fontId="19" fillId="34" borderId="14" xfId="0" applyNumberFormat="1" applyFont="1" applyFill="1" applyBorder="1" applyAlignment="1">
      <alignment horizontal="center" vertical="center"/>
    </xf>
    <xf numFmtId="0" fontId="19" fillId="34"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4" xfId="0" applyFont="1" applyFill="1" applyBorder="1" applyAlignment="1">
      <alignment horizontal="center" vertical="center"/>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36" fillId="0" borderId="44" xfId="0" applyFont="1" applyBorder="1" applyAlignment="1">
      <alignment horizontal="left" vertical="center"/>
    </xf>
    <xf numFmtId="0" fontId="36" fillId="0" borderId="43" xfId="0" applyFont="1" applyBorder="1" applyAlignment="1">
      <alignment horizontal="left" vertical="center"/>
    </xf>
    <xf numFmtId="0" fontId="36" fillId="0" borderId="45" xfId="0" applyFont="1" applyBorder="1" applyAlignment="1">
      <alignment horizontal="left" vertical="center"/>
    </xf>
    <xf numFmtId="0" fontId="65" fillId="39" borderId="44" xfId="0" applyFont="1" applyFill="1" applyBorder="1" applyAlignment="1">
      <alignment horizontal="center" vertical="center"/>
    </xf>
    <xf numFmtId="0" fontId="65" fillId="39" borderId="43" xfId="0" applyFont="1" applyFill="1" applyBorder="1" applyAlignment="1">
      <alignment horizontal="center" vertical="center"/>
    </xf>
    <xf numFmtId="0" fontId="65" fillId="39" borderId="45" xfId="0" applyFont="1" applyFill="1" applyBorder="1" applyAlignment="1">
      <alignment horizontal="center" vertical="center"/>
    </xf>
    <xf numFmtId="0" fontId="36" fillId="46" borderId="43" xfId="0" applyFont="1" applyFill="1" applyBorder="1" applyAlignment="1">
      <alignment horizontal="center" vertical="center"/>
    </xf>
    <xf numFmtId="0" fontId="67" fillId="0" borderId="65" xfId="0" applyFont="1" applyBorder="1" applyAlignment="1">
      <alignment horizontal="center" vertical="center" wrapText="1"/>
    </xf>
    <xf numFmtId="0" fontId="67" fillId="0" borderId="69" xfId="0" applyFont="1" applyBorder="1" applyAlignment="1">
      <alignment horizontal="center" vertical="center" wrapText="1"/>
    </xf>
    <xf numFmtId="0" fontId="67" fillId="0" borderId="66" xfId="0" applyFont="1" applyBorder="1" applyAlignment="1">
      <alignment horizontal="center" vertical="center" wrapText="1"/>
    </xf>
    <xf numFmtId="0" fontId="57" fillId="44" borderId="60" xfId="49" applyFont="1" applyFill="1" applyBorder="1" applyAlignment="1">
      <alignment horizontal="center" vertical="center" wrapText="1"/>
    </xf>
    <xf numFmtId="0" fontId="57" fillId="44" borderId="61" xfId="49" applyFont="1" applyFill="1" applyBorder="1" applyAlignment="1">
      <alignment horizontal="center" vertical="center" wrapText="1"/>
    </xf>
    <xf numFmtId="0" fontId="57" fillId="44" borderId="62" xfId="49" applyFont="1" applyFill="1" applyBorder="1" applyAlignment="1">
      <alignment horizontal="center" vertical="center" wrapText="1"/>
    </xf>
    <xf numFmtId="0" fontId="57" fillId="45" borderId="60" xfId="49" applyFont="1" applyFill="1" applyBorder="1" applyAlignment="1">
      <alignment horizontal="center" vertical="top"/>
    </xf>
    <xf numFmtId="0" fontId="57" fillId="45" borderId="61" xfId="49" applyFont="1" applyFill="1" applyBorder="1" applyAlignment="1">
      <alignment horizontal="center" vertical="top"/>
    </xf>
    <xf numFmtId="0" fontId="57" fillId="45" borderId="62" xfId="49" applyFont="1" applyFill="1" applyBorder="1" applyAlignment="1">
      <alignment horizontal="center" vertical="top"/>
    </xf>
    <xf numFmtId="0" fontId="57" fillId="46" borderId="60" xfId="49" applyFont="1" applyFill="1" applyBorder="1" applyAlignment="1">
      <alignment horizontal="center" vertical="center" wrapText="1"/>
    </xf>
    <xf numFmtId="0" fontId="57" fillId="46" borderId="61" xfId="49" applyFont="1" applyFill="1" applyBorder="1" applyAlignment="1">
      <alignment horizontal="center" vertical="center" wrapText="1"/>
    </xf>
    <xf numFmtId="0" fontId="57" fillId="46" borderId="62" xfId="49" applyFont="1" applyFill="1" applyBorder="1" applyAlignment="1">
      <alignment horizontal="center" vertical="center" wrapText="1"/>
    </xf>
    <xf numFmtId="0" fontId="57" fillId="39" borderId="60" xfId="49" applyFont="1" applyFill="1" applyBorder="1" applyAlignment="1">
      <alignment horizontal="center" vertical="center" wrapText="1"/>
    </xf>
    <xf numFmtId="0" fontId="57" fillId="39" borderId="61" xfId="49" applyFont="1" applyFill="1" applyBorder="1" applyAlignment="1">
      <alignment horizontal="center" vertical="center" wrapText="1"/>
    </xf>
    <xf numFmtId="0" fontId="57" fillId="39" borderId="62" xfId="49" applyFont="1" applyFill="1" applyBorder="1" applyAlignment="1">
      <alignment horizontal="center" vertical="center" wrapText="1"/>
    </xf>
    <xf numFmtId="167" fontId="56" fillId="41" borderId="60" xfId="48" applyNumberFormat="1" applyFont="1" applyFill="1" applyBorder="1" applyAlignment="1">
      <alignment horizontal="center" vertical="top"/>
    </xf>
    <xf numFmtId="167" fontId="56" fillId="41" borderId="62" xfId="48" applyNumberFormat="1" applyFont="1" applyFill="1" applyBorder="1" applyAlignment="1">
      <alignment horizontal="center" vertical="top"/>
    </xf>
    <xf numFmtId="167" fontId="56" fillId="41" borderId="60" xfId="48" applyNumberFormat="1" applyFont="1" applyFill="1" applyBorder="1" applyAlignment="1">
      <alignment horizontal="center" vertical="center"/>
    </xf>
    <xf numFmtId="167" fontId="56" fillId="41" borderId="62" xfId="48" applyNumberFormat="1" applyFont="1" applyFill="1" applyBorder="1" applyAlignment="1">
      <alignment horizontal="center" vertical="center"/>
    </xf>
    <xf numFmtId="0" fontId="56" fillId="41" borderId="60" xfId="47" applyFont="1" applyFill="1" applyBorder="1" applyAlignment="1">
      <alignment horizontal="left" vertical="top" wrapText="1"/>
    </xf>
    <xf numFmtId="0" fontId="56" fillId="41" borderId="62" xfId="47" applyFont="1" applyFill="1" applyBorder="1" applyAlignment="1">
      <alignment horizontal="left" vertical="top" wrapText="1"/>
    </xf>
    <xf numFmtId="0" fontId="56" fillId="41" borderId="60" xfId="47" applyFont="1" applyFill="1" applyBorder="1" applyAlignment="1">
      <alignment horizontal="left" wrapText="1"/>
    </xf>
    <xf numFmtId="0" fontId="56" fillId="41" borderId="62" xfId="47" applyFont="1" applyFill="1" applyBorder="1" applyAlignment="1">
      <alignment horizontal="left" wrapText="1"/>
    </xf>
    <xf numFmtId="0" fontId="56" fillId="0" borderId="0" xfId="47" applyFont="1" applyFill="1" applyBorder="1" applyAlignment="1">
      <alignment horizontal="center" vertical="top" wrapText="1"/>
    </xf>
    <xf numFmtId="0" fontId="56" fillId="0" borderId="53" xfId="47" applyFont="1" applyFill="1" applyBorder="1" applyAlignment="1">
      <alignment horizontal="center" vertical="top" wrapText="1"/>
    </xf>
    <xf numFmtId="0" fontId="81" fillId="46" borderId="60" xfId="49" applyFont="1" applyFill="1" applyBorder="1" applyAlignment="1">
      <alignment horizontal="center" vertical="center" wrapText="1"/>
    </xf>
    <xf numFmtId="0" fontId="81" fillId="46" borderId="61" xfId="49" applyFont="1" applyFill="1" applyBorder="1" applyAlignment="1">
      <alignment horizontal="center" vertical="center" wrapText="1"/>
    </xf>
    <xf numFmtId="0" fontId="81" fillId="46" borderId="62" xfId="49" applyFont="1" applyFill="1" applyBorder="1" applyAlignment="1">
      <alignment horizontal="center" vertical="center" wrapText="1"/>
    </xf>
    <xf numFmtId="0" fontId="81" fillId="39" borderId="60" xfId="49" applyFont="1" applyFill="1" applyBorder="1" applyAlignment="1">
      <alignment horizontal="center" vertical="center" wrapText="1"/>
    </xf>
    <xf numFmtId="0" fontId="81" fillId="39" borderId="61" xfId="49" applyFont="1" applyFill="1" applyBorder="1" applyAlignment="1">
      <alignment horizontal="center" vertical="center" wrapText="1"/>
    </xf>
    <xf numFmtId="0" fontId="81" fillId="39" borderId="62" xfId="49" applyFont="1" applyFill="1" applyBorder="1" applyAlignment="1">
      <alignment horizontal="center" vertical="center" wrapText="1"/>
    </xf>
    <xf numFmtId="167" fontId="75" fillId="41" borderId="60" xfId="48" applyNumberFormat="1" applyFont="1" applyFill="1" applyBorder="1" applyAlignment="1">
      <alignment horizontal="center" vertical="center"/>
    </xf>
    <xf numFmtId="167" fontId="75" fillId="41" borderId="62" xfId="48" applyNumberFormat="1" applyFont="1" applyFill="1" applyBorder="1" applyAlignment="1">
      <alignment horizontal="center" vertical="center"/>
    </xf>
    <xf numFmtId="0" fontId="76" fillId="0" borderId="0" xfId="47" applyFont="1" applyFill="1" applyBorder="1" applyAlignment="1">
      <alignment horizontal="left" vertical="center" wrapText="1"/>
    </xf>
    <xf numFmtId="0" fontId="76" fillId="0" borderId="53" xfId="47" applyFont="1" applyFill="1" applyBorder="1" applyAlignment="1">
      <alignment horizontal="left" vertical="center" wrapText="1"/>
    </xf>
    <xf numFmtId="0" fontId="81" fillId="44" borderId="60" xfId="49" applyFont="1" applyFill="1" applyBorder="1" applyAlignment="1">
      <alignment horizontal="center" vertical="center" wrapText="1"/>
    </xf>
    <xf numFmtId="0" fontId="81" fillId="44" borderId="61" xfId="49" applyFont="1" applyFill="1" applyBorder="1" applyAlignment="1">
      <alignment horizontal="center" vertical="center" wrapText="1"/>
    </xf>
    <xf numFmtId="0" fontId="81" fillId="44" borderId="62" xfId="49" applyFont="1" applyFill="1" applyBorder="1" applyAlignment="1">
      <alignment horizontal="center" vertical="center" wrapText="1"/>
    </xf>
    <xf numFmtId="0" fontId="81" fillId="45" borderId="60" xfId="49" applyFont="1" applyFill="1" applyBorder="1" applyAlignment="1">
      <alignment horizontal="center" vertical="center"/>
    </xf>
    <xf numFmtId="0" fontId="81" fillId="45" borderId="61" xfId="49" applyFont="1" applyFill="1" applyBorder="1" applyAlignment="1">
      <alignment horizontal="center" vertical="center"/>
    </xf>
    <xf numFmtId="0" fontId="81" fillId="45" borderId="62" xfId="49" applyFont="1" applyFill="1" applyBorder="1" applyAlignment="1">
      <alignment horizontal="center" vertical="center"/>
    </xf>
    <xf numFmtId="0" fontId="76" fillId="41" borderId="60" xfId="47" applyFont="1" applyFill="1" applyBorder="1" applyAlignment="1">
      <alignment horizontal="center" vertical="center" wrapText="1"/>
    </xf>
    <xf numFmtId="0" fontId="76" fillId="41" borderId="62" xfId="47" applyFont="1" applyFill="1" applyBorder="1" applyAlignment="1">
      <alignment horizontal="center" vertical="center" wrapText="1"/>
    </xf>
    <xf numFmtId="0" fontId="148" fillId="33" borderId="146" xfId="0" applyFont="1" applyFill="1" applyBorder="1" applyAlignment="1">
      <alignment horizontal="left" vertical="top"/>
    </xf>
    <xf numFmtId="0" fontId="91" fillId="33" borderId="147" xfId="4" applyFont="1" applyFill="1" applyBorder="1" applyAlignment="1">
      <alignment horizontal="left" vertical="top"/>
    </xf>
    <xf numFmtId="0" fontId="91" fillId="33" borderId="138" xfId="4" applyFont="1" applyFill="1" applyBorder="1" applyAlignment="1">
      <alignment horizontal="center" vertical="top" wrapText="1"/>
    </xf>
    <xf numFmtId="0" fontId="91" fillId="33" borderId="139" xfId="4" applyFont="1" applyFill="1" applyBorder="1" applyAlignment="1">
      <alignment horizontal="center" vertical="top" wrapText="1"/>
    </xf>
    <xf numFmtId="0" fontId="91" fillId="33" borderId="140" xfId="4" applyFont="1" applyFill="1" applyBorder="1" applyAlignment="1">
      <alignment horizontal="center" vertical="top" wrapText="1"/>
    </xf>
    <xf numFmtId="0" fontId="162" fillId="33" borderId="138" xfId="4" applyFont="1" applyFill="1" applyBorder="1" applyAlignment="1">
      <alignment horizontal="left" vertical="top" wrapText="1"/>
    </xf>
  </cellXfs>
  <cellStyles count="5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Comma 11" xfId="58"/>
    <cellStyle name="Comma 12" xfId="48"/>
    <cellStyle name="Comma 2" xfId="56"/>
    <cellStyle name="Comma 2 2" xfId="5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2" xfId="53"/>
    <cellStyle name="Normal 11" xfId="49"/>
    <cellStyle name="Normal 2" xfId="42"/>
    <cellStyle name="Normal 3" xfId="44"/>
    <cellStyle name="Normal 5" xfId="55"/>
    <cellStyle name="Normal_FB Print" xfId="52"/>
    <cellStyle name="Normal_Formati_permbledhese_Investimet 2007" xfId="47"/>
    <cellStyle name="Normal_Formati_permbledhese_Investimet 2007 2" xfId="46"/>
    <cellStyle name="Normal_INVESTIMET1 sipas PROJEKTEVE - FB2014 12.12.2013" xfId="50"/>
    <cellStyle name="Normal_Udhezimi-Tabelat" xfId="51"/>
    <cellStyle name="Note" xfId="15" builtinId="10" customBuiltin="1"/>
    <cellStyle name="Output" xfId="10" builtinId="21" customBuiltin="1"/>
    <cellStyle name="Percent" xfId="43" builtinId="5"/>
    <cellStyle name="Percent 2" xfId="57"/>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lorian.nurce/Local%20Settings/Temporary%20Internet%20Files/Content.Outlook/41M70TIK/Realizimi%2011_mujori%20%20_mirela%20-27%2012%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 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40"/>
  <sheetViews>
    <sheetView zoomScaleNormal="100" workbookViewId="0">
      <selection activeCell="B8" sqref="B8:J10"/>
    </sheetView>
  </sheetViews>
  <sheetFormatPr defaultColWidth="9.140625" defaultRowHeight="11.25" customHeight="1" x14ac:dyDescent="0.25"/>
  <cols>
    <col min="1" max="1" width="14.5703125" style="359" customWidth="1"/>
    <col min="2" max="3" width="4.42578125" style="359" customWidth="1"/>
    <col min="4" max="4" width="11" style="359" customWidth="1"/>
    <col min="5" max="5" width="17.85546875" style="359" customWidth="1"/>
    <col min="6" max="9" width="15.7109375" style="359" customWidth="1"/>
    <col min="10" max="10" width="15" style="359" customWidth="1"/>
    <col min="11" max="253" width="11.42578125" style="359" customWidth="1"/>
    <col min="254" max="16384" width="9.140625" style="359"/>
  </cols>
  <sheetData>
    <row r="1" spans="1:10" ht="15.6" customHeight="1" x14ac:dyDescent="0.25">
      <c r="A1" s="400"/>
      <c r="B1" s="400"/>
      <c r="C1" s="400"/>
      <c r="D1" s="400"/>
      <c r="E1" s="2055" t="s">
        <v>566</v>
      </c>
      <c r="F1" s="2055"/>
      <c r="G1" s="2055"/>
      <c r="H1" s="2055"/>
      <c r="I1" s="400"/>
      <c r="J1" s="400"/>
    </row>
    <row r="3" spans="1:10" ht="16.149999999999999" customHeight="1" x14ac:dyDescent="0.25">
      <c r="A3" s="399" t="s">
        <v>568</v>
      </c>
      <c r="B3" s="398"/>
      <c r="C3" s="398"/>
      <c r="D3" s="398"/>
      <c r="E3" s="397" t="s">
        <v>567</v>
      </c>
      <c r="F3" s="396"/>
      <c r="G3" s="396"/>
      <c r="H3" s="396"/>
      <c r="I3" s="396"/>
      <c r="J3" s="395"/>
    </row>
    <row r="4" spans="1:10" ht="11.25" customHeight="1" x14ac:dyDescent="0.25">
      <c r="A4" s="394"/>
      <c r="B4" s="387"/>
      <c r="C4" s="387"/>
      <c r="D4" s="387"/>
      <c r="E4" s="387"/>
      <c r="F4" s="387"/>
      <c r="G4" s="387"/>
      <c r="H4" s="387"/>
      <c r="I4" s="387"/>
      <c r="J4" s="386"/>
    </row>
    <row r="5" spans="1:10" ht="18" customHeight="1" x14ac:dyDescent="0.25">
      <c r="A5" s="393" t="s">
        <v>88</v>
      </c>
      <c r="B5" s="2056" t="s">
        <v>566</v>
      </c>
      <c r="C5" s="2057"/>
      <c r="D5" s="2057"/>
      <c r="E5" s="2057"/>
      <c r="F5" s="392" t="s">
        <v>87</v>
      </c>
      <c r="G5" s="391">
        <v>11</v>
      </c>
      <c r="H5" s="387"/>
      <c r="I5" s="387"/>
      <c r="J5" s="386"/>
    </row>
    <row r="6" spans="1:10" ht="11.25" customHeight="1" x14ac:dyDescent="0.25">
      <c r="A6" s="385"/>
      <c r="B6" s="389"/>
      <c r="C6" s="389"/>
      <c r="D6" s="389"/>
      <c r="E6" s="387"/>
      <c r="F6" s="388"/>
      <c r="G6" s="387"/>
      <c r="H6" s="387"/>
      <c r="I6" s="387"/>
      <c r="J6" s="386"/>
    </row>
    <row r="7" spans="1:10" ht="20.45" customHeight="1" x14ac:dyDescent="0.25">
      <c r="A7" s="384" t="s">
        <v>565</v>
      </c>
      <c r="B7" s="390"/>
      <c r="C7" s="389"/>
      <c r="D7" s="389"/>
      <c r="E7" s="387"/>
      <c r="F7" s="388"/>
      <c r="G7" s="387"/>
      <c r="H7" s="387"/>
      <c r="I7" s="387"/>
      <c r="J7" s="386"/>
    </row>
    <row r="8" spans="1:10" ht="11.25" customHeight="1" x14ac:dyDescent="0.25">
      <c r="A8" s="385"/>
      <c r="B8" s="2058" t="s">
        <v>564</v>
      </c>
      <c r="C8" s="2059"/>
      <c r="D8" s="2059"/>
      <c r="E8" s="2059"/>
      <c r="F8" s="2059"/>
      <c r="G8" s="2059"/>
      <c r="H8" s="2059"/>
      <c r="I8" s="2059"/>
      <c r="J8" s="2060"/>
    </row>
    <row r="9" spans="1:10" ht="11.25" customHeight="1" x14ac:dyDescent="0.25">
      <c r="A9" s="385"/>
      <c r="B9" s="2061"/>
      <c r="C9" s="2062"/>
      <c r="D9" s="2062"/>
      <c r="E9" s="2062"/>
      <c r="F9" s="2062"/>
      <c r="G9" s="2062"/>
      <c r="H9" s="2062"/>
      <c r="I9" s="2062"/>
      <c r="J9" s="2063"/>
    </row>
    <row r="10" spans="1:10" ht="291.60000000000002" customHeight="1" x14ac:dyDescent="0.25">
      <c r="A10" s="385"/>
      <c r="B10" s="2064"/>
      <c r="C10" s="2065"/>
      <c r="D10" s="2065"/>
      <c r="E10" s="2065"/>
      <c r="F10" s="2065"/>
      <c r="G10" s="2065"/>
      <c r="H10" s="2065"/>
      <c r="I10" s="2065"/>
      <c r="J10" s="2066"/>
    </row>
    <row r="11" spans="1:10" ht="15" customHeight="1" x14ac:dyDescent="0.25">
      <c r="A11" s="384" t="s">
        <v>563</v>
      </c>
      <c r="B11" s="383" t="s">
        <v>562</v>
      </c>
      <c r="C11" s="382"/>
      <c r="D11" s="382"/>
      <c r="E11" s="381"/>
      <c r="F11" s="381"/>
      <c r="G11" s="381"/>
      <c r="H11" s="381"/>
      <c r="I11" s="381"/>
      <c r="J11" s="380"/>
    </row>
    <row r="12" spans="1:10" ht="11.25" customHeight="1" x14ac:dyDescent="0.25">
      <c r="A12" s="379" t="s">
        <v>561</v>
      </c>
      <c r="B12" s="378" t="s">
        <v>80</v>
      </c>
      <c r="C12" s="377"/>
      <c r="D12" s="366"/>
      <c r="E12" s="376" t="s">
        <v>560</v>
      </c>
      <c r="F12" s="375"/>
      <c r="G12" s="375"/>
      <c r="H12" s="375"/>
      <c r="I12" s="375"/>
      <c r="J12" s="374"/>
    </row>
    <row r="13" spans="1:10" ht="11.25" customHeight="1" x14ac:dyDescent="0.25">
      <c r="A13" s="373" t="s">
        <v>144</v>
      </c>
      <c r="B13" s="2067" t="s">
        <v>146</v>
      </c>
      <c r="C13" s="2068"/>
      <c r="D13" s="2069"/>
      <c r="E13" s="2076" t="s">
        <v>559</v>
      </c>
      <c r="F13" s="2076"/>
      <c r="G13" s="2076"/>
      <c r="H13" s="2076"/>
      <c r="I13" s="2076"/>
      <c r="J13" s="2077"/>
    </row>
    <row r="14" spans="1:10" ht="11.25" customHeight="1" x14ac:dyDescent="0.25">
      <c r="A14" s="372"/>
      <c r="B14" s="2070"/>
      <c r="C14" s="2071"/>
      <c r="D14" s="2072"/>
      <c r="E14" s="2078"/>
      <c r="F14" s="2078"/>
      <c r="G14" s="2078"/>
      <c r="H14" s="2078"/>
      <c r="I14" s="2078"/>
      <c r="J14" s="2079"/>
    </row>
    <row r="15" spans="1:10" ht="11.25" customHeight="1" x14ac:dyDescent="0.25">
      <c r="A15" s="372"/>
      <c r="B15" s="2070"/>
      <c r="C15" s="2071"/>
      <c r="D15" s="2072"/>
      <c r="E15" s="2078"/>
      <c r="F15" s="2078"/>
      <c r="G15" s="2078"/>
      <c r="H15" s="2078"/>
      <c r="I15" s="2078"/>
      <c r="J15" s="2079"/>
    </row>
    <row r="16" spans="1:10" ht="78.599999999999994" customHeight="1" x14ac:dyDescent="0.25">
      <c r="A16" s="371"/>
      <c r="B16" s="2073"/>
      <c r="C16" s="2074"/>
      <c r="D16" s="2075"/>
      <c r="E16" s="2080"/>
      <c r="F16" s="2080"/>
      <c r="G16" s="2080"/>
      <c r="H16" s="2080"/>
      <c r="I16" s="2080"/>
      <c r="J16" s="2081"/>
    </row>
    <row r="17" spans="1:10" ht="11.25" customHeight="1" x14ac:dyDescent="0.25">
      <c r="A17" s="370" t="s">
        <v>143</v>
      </c>
      <c r="B17" s="2040" t="s">
        <v>558</v>
      </c>
      <c r="C17" s="2041"/>
      <c r="D17" s="2042"/>
      <c r="E17" s="2049" t="s">
        <v>557</v>
      </c>
      <c r="F17" s="2049"/>
      <c r="G17" s="2049"/>
      <c r="H17" s="2049"/>
      <c r="I17" s="2049"/>
      <c r="J17" s="2050"/>
    </row>
    <row r="18" spans="1:10" ht="11.25" customHeight="1" x14ac:dyDescent="0.25">
      <c r="A18" s="369"/>
      <c r="B18" s="2043"/>
      <c r="C18" s="2044"/>
      <c r="D18" s="2045"/>
      <c r="E18" s="2051"/>
      <c r="F18" s="2051"/>
      <c r="G18" s="2051"/>
      <c r="H18" s="2051"/>
      <c r="I18" s="2051"/>
      <c r="J18" s="2052"/>
    </row>
    <row r="19" spans="1:10" ht="11.25" customHeight="1" x14ac:dyDescent="0.25">
      <c r="A19" s="369"/>
      <c r="B19" s="2043"/>
      <c r="C19" s="2044"/>
      <c r="D19" s="2045"/>
      <c r="E19" s="2051"/>
      <c r="F19" s="2051"/>
      <c r="G19" s="2051"/>
      <c r="H19" s="2051"/>
      <c r="I19" s="2051"/>
      <c r="J19" s="2052"/>
    </row>
    <row r="20" spans="1:10" ht="36" customHeight="1" x14ac:dyDescent="0.25">
      <c r="A20" s="368"/>
      <c r="B20" s="2046"/>
      <c r="C20" s="2047"/>
      <c r="D20" s="2048"/>
      <c r="E20" s="2053"/>
      <c r="F20" s="2053"/>
      <c r="G20" s="2053"/>
      <c r="H20" s="2053"/>
      <c r="I20" s="2053"/>
      <c r="J20" s="2054"/>
    </row>
    <row r="21" spans="1:10" ht="11.25" customHeight="1" x14ac:dyDescent="0.25">
      <c r="A21" s="370" t="s">
        <v>223</v>
      </c>
      <c r="B21" s="2067" t="s">
        <v>480</v>
      </c>
      <c r="C21" s="2068"/>
      <c r="D21" s="2069"/>
      <c r="E21" s="2076" t="s">
        <v>556</v>
      </c>
      <c r="F21" s="2076"/>
      <c r="G21" s="2076"/>
      <c r="H21" s="2076"/>
      <c r="I21" s="2076"/>
      <c r="J21" s="2077"/>
    </row>
    <row r="22" spans="1:10" ht="11.25" customHeight="1" x14ac:dyDescent="0.25">
      <c r="A22" s="369"/>
      <c r="B22" s="2070"/>
      <c r="C22" s="2071"/>
      <c r="D22" s="2072"/>
      <c r="E22" s="2078"/>
      <c r="F22" s="2078"/>
      <c r="G22" s="2078"/>
      <c r="H22" s="2078"/>
      <c r="I22" s="2078"/>
      <c r="J22" s="2079"/>
    </row>
    <row r="23" spans="1:10" ht="11.25" customHeight="1" x14ac:dyDescent="0.25">
      <c r="A23" s="369"/>
      <c r="B23" s="2070"/>
      <c r="C23" s="2071"/>
      <c r="D23" s="2072"/>
      <c r="E23" s="2078"/>
      <c r="F23" s="2078"/>
      <c r="G23" s="2078"/>
      <c r="H23" s="2078"/>
      <c r="I23" s="2078"/>
      <c r="J23" s="2079"/>
    </row>
    <row r="24" spans="1:10" ht="55.9" customHeight="1" x14ac:dyDescent="0.25">
      <c r="A24" s="368"/>
      <c r="B24" s="2073"/>
      <c r="C24" s="2074"/>
      <c r="D24" s="2075"/>
      <c r="E24" s="2080"/>
      <c r="F24" s="2080"/>
      <c r="G24" s="2080"/>
      <c r="H24" s="2080"/>
      <c r="I24" s="2080"/>
      <c r="J24" s="2081"/>
    </row>
    <row r="25" spans="1:10" ht="11.25" customHeight="1" x14ac:dyDescent="0.25">
      <c r="A25" s="370" t="s">
        <v>367</v>
      </c>
      <c r="B25" s="2067" t="s">
        <v>481</v>
      </c>
      <c r="C25" s="2068"/>
      <c r="D25" s="2069"/>
      <c r="E25" s="2076" t="s">
        <v>555</v>
      </c>
      <c r="F25" s="2076"/>
      <c r="G25" s="2076"/>
      <c r="H25" s="2076"/>
      <c r="I25" s="2076"/>
      <c r="J25" s="2077"/>
    </row>
    <row r="26" spans="1:10" ht="11.25" customHeight="1" x14ac:dyDescent="0.25">
      <c r="A26" s="369"/>
      <c r="B26" s="2070"/>
      <c r="C26" s="2071"/>
      <c r="D26" s="2072"/>
      <c r="E26" s="2078"/>
      <c r="F26" s="2078"/>
      <c r="G26" s="2078"/>
      <c r="H26" s="2078"/>
      <c r="I26" s="2078"/>
      <c r="J26" s="2079"/>
    </row>
    <row r="27" spans="1:10" ht="11.25" customHeight="1" x14ac:dyDescent="0.25">
      <c r="A27" s="369"/>
      <c r="B27" s="2070"/>
      <c r="C27" s="2071"/>
      <c r="D27" s="2072"/>
      <c r="E27" s="2078"/>
      <c r="F27" s="2078"/>
      <c r="G27" s="2078"/>
      <c r="H27" s="2078"/>
      <c r="I27" s="2078"/>
      <c r="J27" s="2079"/>
    </row>
    <row r="28" spans="1:10" ht="30.6" customHeight="1" x14ac:dyDescent="0.25">
      <c r="A28" s="368"/>
      <c r="B28" s="2073"/>
      <c r="C28" s="2074"/>
      <c r="D28" s="2075"/>
      <c r="E28" s="2080"/>
      <c r="F28" s="2080"/>
      <c r="G28" s="2080"/>
      <c r="H28" s="2080"/>
      <c r="I28" s="2080"/>
      <c r="J28" s="2081"/>
    </row>
    <row r="29" spans="1:10" ht="11.25" customHeight="1" x14ac:dyDescent="0.25">
      <c r="A29" s="370" t="s">
        <v>428</v>
      </c>
      <c r="B29" s="2067" t="s">
        <v>482</v>
      </c>
      <c r="C29" s="2068"/>
      <c r="D29" s="2069"/>
      <c r="E29" s="2076" t="s">
        <v>554</v>
      </c>
      <c r="F29" s="2076"/>
      <c r="G29" s="2076"/>
      <c r="H29" s="2076"/>
      <c r="I29" s="2076"/>
      <c r="J29" s="2077"/>
    </row>
    <row r="30" spans="1:10" ht="11.25" customHeight="1" x14ac:dyDescent="0.25">
      <c r="A30" s="369"/>
      <c r="B30" s="2070"/>
      <c r="C30" s="2071"/>
      <c r="D30" s="2072"/>
      <c r="E30" s="2078"/>
      <c r="F30" s="2078"/>
      <c r="G30" s="2078"/>
      <c r="H30" s="2078"/>
      <c r="I30" s="2078"/>
      <c r="J30" s="2079"/>
    </row>
    <row r="31" spans="1:10" ht="11.25" customHeight="1" x14ac:dyDescent="0.25">
      <c r="A31" s="369"/>
      <c r="B31" s="2070"/>
      <c r="C31" s="2071"/>
      <c r="D31" s="2072"/>
      <c r="E31" s="2078"/>
      <c r="F31" s="2078"/>
      <c r="G31" s="2078"/>
      <c r="H31" s="2078"/>
      <c r="I31" s="2078"/>
      <c r="J31" s="2079"/>
    </row>
    <row r="32" spans="1:10" ht="69" customHeight="1" x14ac:dyDescent="0.25">
      <c r="A32" s="368"/>
      <c r="B32" s="2073"/>
      <c r="C32" s="2074"/>
      <c r="D32" s="2075"/>
      <c r="E32" s="2080"/>
      <c r="F32" s="2080"/>
      <c r="G32" s="2080"/>
      <c r="H32" s="2080"/>
      <c r="I32" s="2080"/>
      <c r="J32" s="2081"/>
    </row>
    <row r="33" spans="1:10" ht="21" customHeight="1" x14ac:dyDescent="0.25">
      <c r="A33" s="370" t="s">
        <v>457</v>
      </c>
      <c r="B33" s="2040" t="s">
        <v>553</v>
      </c>
      <c r="C33" s="2041"/>
      <c r="D33" s="2042"/>
      <c r="E33" s="2049" t="s">
        <v>552</v>
      </c>
      <c r="F33" s="2049"/>
      <c r="G33" s="2049"/>
      <c r="H33" s="2049"/>
      <c r="I33" s="2049"/>
      <c r="J33" s="2050"/>
    </row>
    <row r="34" spans="1:10" ht="11.25" customHeight="1" x14ac:dyDescent="0.25">
      <c r="A34" s="369"/>
      <c r="B34" s="2043"/>
      <c r="C34" s="2044"/>
      <c r="D34" s="2045"/>
      <c r="E34" s="2051"/>
      <c r="F34" s="2051"/>
      <c r="G34" s="2051"/>
      <c r="H34" s="2051"/>
      <c r="I34" s="2051"/>
      <c r="J34" s="2052"/>
    </row>
    <row r="35" spans="1:10" ht="11.25" customHeight="1" x14ac:dyDescent="0.25">
      <c r="A35" s="369"/>
      <c r="B35" s="2043"/>
      <c r="C35" s="2044"/>
      <c r="D35" s="2045"/>
      <c r="E35" s="2051"/>
      <c r="F35" s="2051"/>
      <c r="G35" s="2051"/>
      <c r="H35" s="2051"/>
      <c r="I35" s="2051"/>
      <c r="J35" s="2052"/>
    </row>
    <row r="36" spans="1:10" ht="42" customHeight="1" x14ac:dyDescent="0.25">
      <c r="A36" s="368"/>
      <c r="B36" s="2046"/>
      <c r="C36" s="2047"/>
      <c r="D36" s="2048"/>
      <c r="E36" s="2053"/>
      <c r="F36" s="2053"/>
      <c r="G36" s="2053"/>
      <c r="H36" s="2053"/>
      <c r="I36" s="2053"/>
      <c r="J36" s="2054"/>
    </row>
    <row r="38" spans="1:10" ht="16.5" customHeight="1" x14ac:dyDescent="0.25">
      <c r="A38" s="2082" t="s">
        <v>487</v>
      </c>
      <c r="B38" s="363" t="s">
        <v>80</v>
      </c>
      <c r="C38" s="365"/>
      <c r="D38" s="366"/>
      <c r="E38" s="2085" t="s">
        <v>488</v>
      </c>
      <c r="F38" s="360" t="s">
        <v>80</v>
      </c>
      <c r="G38" s="365"/>
      <c r="H38" s="367"/>
      <c r="I38" s="360" t="s">
        <v>80</v>
      </c>
      <c r="J38" s="360"/>
    </row>
    <row r="39" spans="1:10" ht="16.5" customHeight="1" x14ac:dyDescent="0.25">
      <c r="A39" s="2083"/>
      <c r="B39" s="363" t="s">
        <v>490</v>
      </c>
      <c r="C39" s="365"/>
      <c r="D39" s="366"/>
      <c r="E39" s="2086"/>
      <c r="F39" s="360" t="s">
        <v>490</v>
      </c>
      <c r="G39" s="365"/>
      <c r="H39" s="364" t="s">
        <v>489</v>
      </c>
      <c r="I39" s="360" t="s">
        <v>490</v>
      </c>
      <c r="J39" s="360"/>
    </row>
    <row r="40" spans="1:10" ht="16.5" customHeight="1" x14ac:dyDescent="0.25">
      <c r="A40" s="2084"/>
      <c r="B40" s="363" t="s">
        <v>82</v>
      </c>
      <c r="C40" s="361"/>
      <c r="D40" s="362"/>
      <c r="E40" s="2087"/>
      <c r="F40" s="360" t="s">
        <v>82</v>
      </c>
      <c r="G40" s="361"/>
      <c r="H40" s="361"/>
      <c r="I40" s="360" t="s">
        <v>82</v>
      </c>
      <c r="J40" s="360"/>
    </row>
  </sheetData>
  <mergeCells count="17">
    <mergeCell ref="A38:A40"/>
    <mergeCell ref="E38:E40"/>
    <mergeCell ref="B21:D24"/>
    <mergeCell ref="E21:J24"/>
    <mergeCell ref="B25:D28"/>
    <mergeCell ref="E25:J28"/>
    <mergeCell ref="B29:D32"/>
    <mergeCell ref="E29:J32"/>
    <mergeCell ref="B17:D20"/>
    <mergeCell ref="E17:J20"/>
    <mergeCell ref="E1:H1"/>
    <mergeCell ref="B33:D36"/>
    <mergeCell ref="E33:J36"/>
    <mergeCell ref="B5:E5"/>
    <mergeCell ref="B8:J10"/>
    <mergeCell ref="B13:D16"/>
    <mergeCell ref="E13:J16"/>
  </mergeCells>
  <printOptions horizontalCentered="1" verticalCentered="1"/>
  <pageMargins left="0.1" right="0.1" top="0.1" bottom="0.1" header="0.3" footer="0.1"/>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M187"/>
  <sheetViews>
    <sheetView topLeftCell="A46" zoomScale="88" zoomScaleNormal="88" workbookViewId="0">
      <selection activeCell="E48" sqref="E48:E49"/>
    </sheetView>
  </sheetViews>
  <sheetFormatPr defaultColWidth="8.85546875" defaultRowHeight="15" x14ac:dyDescent="0.25"/>
  <cols>
    <col min="1" max="1" width="3.28515625" style="617" customWidth="1"/>
    <col min="2" max="2" width="4.7109375" style="617" customWidth="1"/>
    <col min="3" max="3" width="62.5703125" style="1450" customWidth="1"/>
    <col min="4" max="4" width="16.7109375" style="617" customWidth="1"/>
    <col min="5" max="5" width="17.28515625" style="617" customWidth="1"/>
    <col min="6" max="6" width="18" style="617" customWidth="1"/>
    <col min="7" max="7" width="22.85546875" style="617" customWidth="1"/>
    <col min="8" max="9" width="15.7109375" style="617" customWidth="1"/>
    <col min="10" max="10" width="16.140625" style="617" customWidth="1"/>
    <col min="11" max="11" width="16.42578125" style="617" bestFit="1" customWidth="1"/>
    <col min="12" max="12" width="15.42578125" style="617" customWidth="1"/>
    <col min="13" max="13" width="14.28515625" style="617" customWidth="1"/>
    <col min="14" max="14" width="15" style="617" customWidth="1"/>
    <col min="15" max="16384" width="8.85546875" style="617"/>
  </cols>
  <sheetData>
    <row r="2" spans="2:8" ht="18" customHeight="1" x14ac:dyDescent="0.25">
      <c r="C2" s="2322" t="s">
        <v>1026</v>
      </c>
      <c r="D2" s="2322"/>
      <c r="E2" s="2322"/>
      <c r="F2" s="2322"/>
      <c r="G2" s="2322"/>
      <c r="H2" s="720"/>
    </row>
    <row r="3" spans="2:8" ht="18" customHeight="1" x14ac:dyDescent="0.25">
      <c r="B3" s="1148"/>
      <c r="C3" s="2323" t="s">
        <v>1027</v>
      </c>
      <c r="D3" s="2323"/>
      <c r="E3" s="2323"/>
      <c r="F3" s="2323"/>
      <c r="G3" s="2323"/>
      <c r="H3" s="1148"/>
    </row>
    <row r="4" spans="2:8" x14ac:dyDescent="0.25">
      <c r="C4" s="1432"/>
      <c r="D4" s="728"/>
      <c r="E4" s="728"/>
      <c r="F4" s="728"/>
      <c r="G4" s="727"/>
    </row>
    <row r="5" spans="2:8" ht="16.5" thickBot="1" x14ac:dyDescent="0.3">
      <c r="C5" s="1256" t="s">
        <v>20</v>
      </c>
      <c r="D5" s="2324" t="s">
        <v>480</v>
      </c>
      <c r="E5" s="2324"/>
      <c r="F5" s="2324"/>
      <c r="G5" s="2324"/>
    </row>
    <row r="6" spans="2:8" ht="15.75" thickBot="1" x14ac:dyDescent="0.3">
      <c r="C6" s="1253" t="s">
        <v>4</v>
      </c>
      <c r="D6" s="2325" t="s">
        <v>223</v>
      </c>
      <c r="E6" s="2326"/>
      <c r="F6" s="2326"/>
      <c r="G6" s="2327"/>
    </row>
    <row r="7" spans="2:8" ht="15.75" thickBot="1" x14ac:dyDescent="0.3">
      <c r="C7" s="1253" t="s">
        <v>35</v>
      </c>
      <c r="D7" s="2166" t="s">
        <v>5</v>
      </c>
      <c r="E7" s="2167"/>
      <c r="F7" s="2167"/>
      <c r="G7" s="2168"/>
    </row>
    <row r="8" spans="2:8" s="720" customFormat="1" ht="23.25" customHeight="1" x14ac:dyDescent="0.25">
      <c r="C8" s="2490" t="s">
        <v>119</v>
      </c>
      <c r="D8" s="722">
        <v>2018</v>
      </c>
      <c r="E8" s="722">
        <v>2019</v>
      </c>
      <c r="F8" s="722">
        <v>2020</v>
      </c>
      <c r="G8" s="722">
        <v>2021</v>
      </c>
    </row>
    <row r="9" spans="2:8" s="720" customFormat="1" ht="15.75" thickBot="1" x14ac:dyDescent="0.3">
      <c r="C9" s="2491"/>
      <c r="D9" s="721" t="s">
        <v>6</v>
      </c>
      <c r="E9" s="721" t="s">
        <v>7</v>
      </c>
      <c r="F9" s="721" t="s">
        <v>7</v>
      </c>
      <c r="G9" s="721" t="s">
        <v>7</v>
      </c>
    </row>
    <row r="10" spans="2:8" ht="27" customHeight="1" thickBot="1" x14ac:dyDescent="0.3">
      <c r="C10" s="1433" t="s">
        <v>683</v>
      </c>
      <c r="D10" s="1385">
        <v>0.75737266668536118</v>
      </c>
      <c r="E10" s="1385">
        <v>0.78859044266851308</v>
      </c>
      <c r="F10" s="1385">
        <v>0.82192052127585835</v>
      </c>
      <c r="G10" s="1385">
        <v>0.84863057292666422</v>
      </c>
    </row>
    <row r="11" spans="2:8" ht="15.75" thickBot="1" x14ac:dyDescent="0.3">
      <c r="C11" s="1434" t="s">
        <v>682</v>
      </c>
      <c r="D11" s="1387">
        <v>81026</v>
      </c>
      <c r="E11" s="1387">
        <v>82000</v>
      </c>
      <c r="F11" s="1387">
        <v>83000</v>
      </c>
      <c r="G11" s="1387">
        <v>84000</v>
      </c>
    </row>
    <row r="12" spans="2:8" ht="15.75" thickBot="1" x14ac:dyDescent="0.3">
      <c r="C12" s="1434" t="s">
        <v>692</v>
      </c>
      <c r="D12" s="1387">
        <v>106983</v>
      </c>
      <c r="E12" s="1387">
        <v>103983</v>
      </c>
      <c r="F12" s="1387">
        <v>100983</v>
      </c>
      <c r="G12" s="1387">
        <v>98983</v>
      </c>
    </row>
    <row r="13" spans="2:8" ht="15.75" thickBot="1" x14ac:dyDescent="0.3">
      <c r="C13" s="1434" t="s">
        <v>691</v>
      </c>
      <c r="D13" s="1388">
        <f>D14/D19</f>
        <v>0.12679628064243448</v>
      </c>
      <c r="E13" s="1388">
        <f>E14/E19</f>
        <v>0.12679628064243448</v>
      </c>
      <c r="F13" s="1388">
        <f>F14/F19</f>
        <v>0.12679628064243448</v>
      </c>
      <c r="G13" s="1388">
        <f>G14/G19</f>
        <v>0.12679628064243448</v>
      </c>
    </row>
    <row r="14" spans="2:8" ht="15.6" customHeight="1" thickBot="1" x14ac:dyDescent="0.3">
      <c r="C14" s="1055" t="s">
        <v>690</v>
      </c>
      <c r="D14" s="1390">
        <v>3000</v>
      </c>
      <c r="E14" s="1390">
        <v>3000</v>
      </c>
      <c r="F14" s="1390">
        <v>3000</v>
      </c>
      <c r="G14" s="1390">
        <v>3000</v>
      </c>
    </row>
    <row r="15" spans="2:8" ht="15.75" thickBot="1" x14ac:dyDescent="0.3">
      <c r="C15" s="1434" t="s">
        <v>672</v>
      </c>
      <c r="D15" s="1387">
        <v>120</v>
      </c>
      <c r="E15" s="1387">
        <v>120</v>
      </c>
      <c r="F15" s="1387">
        <v>120</v>
      </c>
      <c r="G15" s="1387">
        <v>120</v>
      </c>
    </row>
    <row r="16" spans="2:8" ht="15.75" thickBot="1" x14ac:dyDescent="0.3">
      <c r="C16" s="1435" t="s">
        <v>622</v>
      </c>
      <c r="D16" s="1387">
        <v>300</v>
      </c>
      <c r="E16" s="1387">
        <v>300</v>
      </c>
      <c r="F16" s="1387">
        <v>300</v>
      </c>
      <c r="G16" s="1387">
        <v>300</v>
      </c>
    </row>
    <row r="17" spans="3:10" ht="15.75" thickBot="1" x14ac:dyDescent="0.3">
      <c r="C17" s="1435" t="s">
        <v>671</v>
      </c>
      <c r="D17" s="1387">
        <v>200</v>
      </c>
      <c r="E17" s="1387">
        <v>200</v>
      </c>
      <c r="F17" s="1387">
        <v>200</v>
      </c>
      <c r="G17" s="1387">
        <v>200</v>
      </c>
    </row>
    <row r="18" spans="3:10" ht="15.75" thickBot="1" x14ac:dyDescent="0.3">
      <c r="C18" s="1434" t="s">
        <v>689</v>
      </c>
      <c r="D18" s="1388">
        <f>6000/D19</f>
        <v>0.25359256128486896</v>
      </c>
      <c r="E18" s="1388">
        <f>6000/E19</f>
        <v>0.25359256128486896</v>
      </c>
      <c r="F18" s="1388">
        <f>6000/F19</f>
        <v>0.25359256128486896</v>
      </c>
      <c r="G18" s="1388">
        <f>6000/G19</f>
        <v>0.25359256128486896</v>
      </c>
    </row>
    <row r="19" spans="3:10" ht="15.75" thickBot="1" x14ac:dyDescent="0.3">
      <c r="C19" s="1435" t="s">
        <v>631</v>
      </c>
      <c r="D19" s="1387">
        <v>23660</v>
      </c>
      <c r="E19" s="1387">
        <v>23660</v>
      </c>
      <c r="F19" s="1387">
        <v>23660</v>
      </c>
      <c r="G19" s="1387">
        <v>23660</v>
      </c>
    </row>
    <row r="20" spans="3:10" x14ac:dyDescent="0.25">
      <c r="C20" s="1431" t="s">
        <v>688</v>
      </c>
      <c r="D20" s="1393">
        <v>0.57784925106794294</v>
      </c>
      <c r="E20" s="1393">
        <v>0.56136406302715336</v>
      </c>
      <c r="F20" s="1394">
        <v>0.56088912798943613</v>
      </c>
      <c r="G20" s="1394">
        <v>0.55682097702563094</v>
      </c>
    </row>
    <row r="21" spans="3:10" x14ac:dyDescent="0.25">
      <c r="C21" s="1431" t="s">
        <v>687</v>
      </c>
      <c r="D21" s="1395">
        <v>1.3439498239948798E-2</v>
      </c>
      <c r="E21" s="1395">
        <v>1.2572706884133944E-2</v>
      </c>
      <c r="F21" s="1396">
        <v>1.2246266509127973E-2</v>
      </c>
      <c r="G21" s="1396">
        <v>1.1316553552788921E-2</v>
      </c>
    </row>
    <row r="22" spans="3:10" ht="15.75" thickBot="1" x14ac:dyDescent="0.3">
      <c r="C22" s="1431" t="s">
        <v>686</v>
      </c>
      <c r="D22" s="1395">
        <v>4.4610561109222263E-2</v>
      </c>
      <c r="E22" s="1395">
        <v>4.2138613407584374E-2</v>
      </c>
      <c r="F22" s="1396">
        <v>4.1721690476970032E-2</v>
      </c>
      <c r="G22" s="1396">
        <v>3.9580987417732673E-2</v>
      </c>
    </row>
    <row r="23" spans="3:10" ht="56.45" customHeight="1" thickBot="1" x14ac:dyDescent="0.3">
      <c r="C23" s="1436" t="s">
        <v>512</v>
      </c>
      <c r="D23" s="2339" t="s">
        <v>1031</v>
      </c>
      <c r="E23" s="2340"/>
      <c r="F23" s="2340"/>
      <c r="G23" s="2341"/>
    </row>
    <row r="24" spans="3:10" ht="15" customHeight="1" thickBot="1" x14ac:dyDescent="0.3">
      <c r="C24" s="2355" t="s">
        <v>537</v>
      </c>
      <c r="D24" s="2356"/>
      <c r="E24" s="2356"/>
      <c r="F24" s="2356"/>
      <c r="G24" s="2357"/>
      <c r="J24" s="684"/>
    </row>
    <row r="25" spans="3:10" x14ac:dyDescent="0.25">
      <c r="C25" s="1451" t="s">
        <v>653</v>
      </c>
      <c r="D25" s="1452">
        <v>11110</v>
      </c>
      <c r="E25" s="1452">
        <v>12000</v>
      </c>
      <c r="F25" s="1452">
        <v>13000</v>
      </c>
      <c r="G25" s="1452">
        <v>14000</v>
      </c>
    </row>
    <row r="26" spans="3:10" x14ac:dyDescent="0.25">
      <c r="C26" s="1451" t="s">
        <v>652</v>
      </c>
      <c r="D26" s="1452">
        <v>3797</v>
      </c>
      <c r="E26" s="1452">
        <v>4000</v>
      </c>
      <c r="F26" s="1452">
        <v>4200</v>
      </c>
      <c r="G26" s="1452">
        <v>4500</v>
      </c>
    </row>
    <row r="27" spans="3:10" x14ac:dyDescent="0.25">
      <c r="C27" s="1451" t="s">
        <v>651</v>
      </c>
      <c r="D27" s="1452">
        <v>500</v>
      </c>
      <c r="E27" s="1452">
        <v>550</v>
      </c>
      <c r="F27" s="1452">
        <v>600</v>
      </c>
      <c r="G27" s="1452">
        <v>650</v>
      </c>
    </row>
    <row r="28" spans="3:10" x14ac:dyDescent="0.25">
      <c r="C28" s="1451" t="s">
        <v>650</v>
      </c>
      <c r="D28" s="1453">
        <v>0.3</v>
      </c>
      <c r="E28" s="1453">
        <v>0.1</v>
      </c>
      <c r="F28" s="1453">
        <v>0.1</v>
      </c>
      <c r="G28" s="1453">
        <v>0.1</v>
      </c>
    </row>
    <row r="29" spans="3:10" x14ac:dyDescent="0.25">
      <c r="C29" s="1451" t="s">
        <v>649</v>
      </c>
      <c r="D29" s="1452">
        <v>600</v>
      </c>
      <c r="E29" s="1452">
        <v>660</v>
      </c>
      <c r="F29" s="1452">
        <v>720</v>
      </c>
      <c r="G29" s="1452">
        <v>780</v>
      </c>
    </row>
    <row r="30" spans="3:10" ht="15.75" thickBot="1" x14ac:dyDescent="0.3">
      <c r="C30" s="1451" t="s">
        <v>631</v>
      </c>
      <c r="D30" s="1452">
        <v>23660</v>
      </c>
      <c r="E30" s="1452">
        <v>23660</v>
      </c>
      <c r="F30" s="1452">
        <v>23660</v>
      </c>
      <c r="G30" s="1452">
        <v>23660</v>
      </c>
    </row>
    <row r="31" spans="3:10" ht="15" customHeight="1" thickBot="1" x14ac:dyDescent="0.3">
      <c r="C31" s="2346" t="s">
        <v>66</v>
      </c>
      <c r="D31" s="2347"/>
      <c r="E31" s="2347"/>
      <c r="F31" s="2347"/>
      <c r="G31" s="2348"/>
    </row>
    <row r="32" spans="3:10" ht="15" customHeight="1" thickBot="1" x14ac:dyDescent="0.3">
      <c r="C32" s="2146" t="s">
        <v>121</v>
      </c>
      <c r="D32" s="2147"/>
      <c r="E32" s="2147"/>
      <c r="F32" s="2147"/>
      <c r="G32" s="2148"/>
    </row>
    <row r="33" spans="3:13" ht="25.15" customHeight="1" thickBot="1" x14ac:dyDescent="0.3">
      <c r="C33" s="1254" t="s">
        <v>648</v>
      </c>
      <c r="D33" s="2331" t="s">
        <v>647</v>
      </c>
      <c r="E33" s="2332"/>
      <c r="F33" s="2332"/>
      <c r="G33" s="2333"/>
    </row>
    <row r="34" spans="3:13" ht="23.45" customHeight="1" thickBot="1" x14ac:dyDescent="0.3">
      <c r="C34" s="1158" t="s">
        <v>10</v>
      </c>
      <c r="D34" s="2331" t="s">
        <v>647</v>
      </c>
      <c r="E34" s="2332"/>
      <c r="F34" s="2332"/>
      <c r="G34" s="2333"/>
    </row>
    <row r="35" spans="3:13" ht="15.75" thickBot="1" x14ac:dyDescent="0.3">
      <c r="C35" s="1158" t="s">
        <v>13</v>
      </c>
      <c r="D35" s="2334" t="s">
        <v>646</v>
      </c>
      <c r="E35" s="2335"/>
      <c r="F35" s="2335"/>
      <c r="G35" s="2336"/>
    </row>
    <row r="36" spans="3:13" ht="12.75" customHeight="1" x14ac:dyDescent="0.25">
      <c r="C36" s="2495"/>
      <c r="D36" s="657">
        <v>2018</v>
      </c>
      <c r="E36" s="657">
        <v>2019</v>
      </c>
      <c r="F36" s="657">
        <v>2020</v>
      </c>
      <c r="G36" s="657">
        <v>2021</v>
      </c>
    </row>
    <row r="37" spans="3:13" ht="12.6" customHeight="1" thickBot="1" x14ac:dyDescent="0.3">
      <c r="C37" s="2496"/>
      <c r="D37" s="656" t="s">
        <v>6</v>
      </c>
      <c r="E37" s="656" t="s">
        <v>7</v>
      </c>
      <c r="F37" s="656" t="s">
        <v>7</v>
      </c>
      <c r="G37" s="656" t="s">
        <v>7</v>
      </c>
    </row>
    <row r="38" spans="3:13" ht="15.75" thickBot="1" x14ac:dyDescent="0.25">
      <c r="C38" s="1158" t="s">
        <v>9</v>
      </c>
      <c r="D38" s="692">
        <f>'09120 AB_Form 2 kerk ligjo19-21'!D160-'Formati 2.1 Arsimi Baze'!D158</f>
        <v>0</v>
      </c>
      <c r="E38" s="692">
        <v>295000</v>
      </c>
      <c r="F38" s="692">
        <v>293000</v>
      </c>
      <c r="G38" s="692">
        <v>290000</v>
      </c>
    </row>
    <row r="39" spans="3:13" ht="15.75" thickBot="1" x14ac:dyDescent="0.25">
      <c r="C39" s="1158" t="s">
        <v>14</v>
      </c>
      <c r="D39" s="692">
        <f>'09120 AB_Form 2 kerk ligjo19-21'!D161-'Formati 2.1 Arsimi Baze'!D159</f>
        <v>0</v>
      </c>
      <c r="E39" s="692">
        <f>'09120 AB_Form 2 kerk ligjo19-21'!E161-'Formati 2.1 Arsimi Baze'!E159</f>
        <v>2326492.3000000007</v>
      </c>
      <c r="F39" s="692">
        <f>'09120 AB_Form 2 kerk ligjo19-21'!F161-'Formati 2.1 Arsimi Baze'!F159</f>
        <v>4991697.4880000018</v>
      </c>
      <c r="G39" s="692">
        <f>'09120 AB_Form 2 kerk ligjo19-21'!G161-'Formati 2.1 Arsimi Baze'!G159</f>
        <v>7974700.2324800007</v>
      </c>
      <c r="H39" s="652"/>
      <c r="I39" s="652"/>
      <c r="J39" s="652"/>
      <c r="K39" s="652"/>
    </row>
    <row r="40" spans="3:13" ht="15.75" thickBot="1" x14ac:dyDescent="0.25">
      <c r="C40" s="1158" t="s">
        <v>23</v>
      </c>
      <c r="D40" s="698">
        <v>0</v>
      </c>
      <c r="E40" s="698">
        <f>E39/E38</f>
        <v>7.8864145762711892</v>
      </c>
      <c r="F40" s="698">
        <f t="shared" ref="F40:G40" si="0">F39/F38</f>
        <v>17.036510197952225</v>
      </c>
      <c r="G40" s="698">
        <f t="shared" si="0"/>
        <v>27.498966318896553</v>
      </c>
    </row>
    <row r="41" spans="3:13" ht="15.75" thickBot="1" x14ac:dyDescent="0.3">
      <c r="C41" s="1158" t="s">
        <v>15</v>
      </c>
      <c r="D41" s="662"/>
      <c r="E41" s="679" t="e">
        <f t="shared" ref="E41:G43" si="1">E38/D38-1</f>
        <v>#DIV/0!</v>
      </c>
      <c r="F41" s="679">
        <f t="shared" si="1"/>
        <v>-6.7796610169491567E-3</v>
      </c>
      <c r="G41" s="679">
        <f t="shared" si="1"/>
        <v>-1.0238907849829393E-2</v>
      </c>
      <c r="I41" s="652"/>
      <c r="J41" s="652"/>
      <c r="K41" s="652"/>
    </row>
    <row r="42" spans="3:13" ht="15.75" thickBot="1" x14ac:dyDescent="0.3">
      <c r="C42" s="1158" t="s">
        <v>16</v>
      </c>
      <c r="D42" s="662"/>
      <c r="E42" s="679" t="e">
        <f>E39/D39-1</f>
        <v>#DIV/0!</v>
      </c>
      <c r="F42" s="679">
        <f>F39/E39-1</f>
        <v>1.1455895160280565</v>
      </c>
      <c r="G42" s="679">
        <f>G39/F39-1</f>
        <v>0.59759285326306566</v>
      </c>
    </row>
    <row r="43" spans="3:13" ht="15.75" thickBot="1" x14ac:dyDescent="0.3">
      <c r="C43" s="1158" t="s">
        <v>17</v>
      </c>
      <c r="D43" s="662"/>
      <c r="E43" s="679" t="e">
        <f t="shared" si="1"/>
        <v>#DIV/0!</v>
      </c>
      <c r="F43" s="679">
        <f>F40/E40-1</f>
        <v>1.1602351782535041</v>
      </c>
      <c r="G43" s="679">
        <f>G40/F40-1</f>
        <v>0.61411967588302829</v>
      </c>
    </row>
    <row r="44" spans="3:13" ht="26.45" customHeight="1" thickBot="1" x14ac:dyDescent="0.3">
      <c r="C44" s="1437" t="s">
        <v>1037</v>
      </c>
      <c r="D44" s="659"/>
      <c r="E44" s="659"/>
      <c r="F44" s="659"/>
      <c r="G44" s="658"/>
    </row>
    <row r="45" spans="3:13" ht="12.75" customHeight="1" x14ac:dyDescent="0.25">
      <c r="C45" s="1438"/>
      <c r="D45" s="657">
        <v>2018</v>
      </c>
      <c r="E45" s="657">
        <v>2019</v>
      </c>
      <c r="F45" s="657">
        <v>2020</v>
      </c>
      <c r="G45" s="657">
        <v>2021</v>
      </c>
    </row>
    <row r="46" spans="3:13" ht="15.6" customHeight="1" thickBot="1" x14ac:dyDescent="0.3">
      <c r="C46" s="1439"/>
      <c r="D46" s="656" t="s">
        <v>6</v>
      </c>
      <c r="E46" s="656" t="s">
        <v>7</v>
      </c>
      <c r="F46" s="656" t="s">
        <v>7</v>
      </c>
      <c r="G46" s="656" t="s">
        <v>7</v>
      </c>
      <c r="H46" s="1425">
        <f>SUM(H47:H49)</f>
        <v>21770800.360000003</v>
      </c>
      <c r="I46" s="1425">
        <f>SUM(I47:I49)</f>
        <v>24594087.478399999</v>
      </c>
      <c r="J46" s="1425">
        <f>SUM(J47:J49)</f>
        <v>27470244.107392006</v>
      </c>
      <c r="K46" s="1424">
        <f>ROUND(H46, 0)</f>
        <v>21770800</v>
      </c>
      <c r="L46" s="1424">
        <f>ROUND(I46, 0)</f>
        <v>24594087</v>
      </c>
      <c r="M46" s="1424">
        <f>ROUND(J46, 0)</f>
        <v>27470244</v>
      </c>
    </row>
    <row r="47" spans="3:13" ht="15.75" thickBot="1" x14ac:dyDescent="0.25">
      <c r="C47" s="981" t="s">
        <v>0</v>
      </c>
      <c r="D47" s="692">
        <f>'09120 AB_Form 2 kerk ligjo19-21'!D169-'Formati 2.1 Arsimi Baze'!D167</f>
        <v>0</v>
      </c>
      <c r="E47" s="692">
        <f>'09120 AB_Form 2 kerk ligjo19-21'!E169-'Formati 2.1 Arsimi Baze'!E167</f>
        <v>1970727</v>
      </c>
      <c r="F47" s="692">
        <f>'09120 AB_Form 2 kerk ligjo19-21'!F169-'Formati 2.1 Arsimi Baze'!F167</f>
        <v>4287941</v>
      </c>
      <c r="G47" s="692">
        <f>'09120 AB_Form 2 kerk ligjo19-21'!G169-'Formati 2.1 Arsimi Baze'!G167</f>
        <v>6760022</v>
      </c>
      <c r="H47" s="1425">
        <v>18393453.120000001</v>
      </c>
      <c r="I47" s="1425">
        <v>20600667.494400002</v>
      </c>
      <c r="J47" s="1425">
        <v>23072747.593728006</v>
      </c>
      <c r="K47" s="1424">
        <f>ROUND(H47, 0)</f>
        <v>18393453</v>
      </c>
      <c r="L47" s="1424">
        <f t="shared" ref="L47:M49" si="2">ROUND(I47, 0)</f>
        <v>20600667</v>
      </c>
      <c r="M47" s="1424">
        <f t="shared" si="2"/>
        <v>23072748</v>
      </c>
    </row>
    <row r="48" spans="3:13" ht="15.75" thickBot="1" x14ac:dyDescent="0.25">
      <c r="C48" s="981" t="s">
        <v>49</v>
      </c>
      <c r="D48" s="692"/>
      <c r="E48" s="692">
        <f>'09120 AB_Form 2 kerk ligjo19-21'!E170-'Formati 2.1 Arsimi Baze'!E168</f>
        <v>318571</v>
      </c>
      <c r="F48" s="692">
        <f>'09120 AB_Form 2 kerk ligjo19-21'!F170-'Formati 2.1 Arsimi Baze'!F168</f>
        <v>703277</v>
      </c>
      <c r="G48" s="692">
        <f>'09120 AB_Form 2 kerk ligjo19-21'!G170-'Formati 2.1 Arsimi Baze'!G168</f>
        <v>1102892</v>
      </c>
      <c r="H48" s="1425">
        <v>2973325.6</v>
      </c>
      <c r="I48" s="1425">
        <v>3330124.6720000003</v>
      </c>
      <c r="J48" s="1425">
        <v>3729739.6326400004</v>
      </c>
      <c r="K48" s="1424">
        <f>ROUND(H48, 0)</f>
        <v>2973326</v>
      </c>
      <c r="L48" s="1424">
        <f t="shared" si="2"/>
        <v>3330125</v>
      </c>
      <c r="M48" s="1424">
        <f t="shared" si="2"/>
        <v>3729740</v>
      </c>
    </row>
    <row r="49" spans="2:13" ht="15.75" thickBot="1" x14ac:dyDescent="0.25">
      <c r="C49" s="981" t="s">
        <v>1</v>
      </c>
      <c r="D49" s="697"/>
      <c r="E49" s="697">
        <f>'09120 AB_Form 2 kerk ligjo19-21'!E171-'Formati 2.1 Arsimi Baze'!E169</f>
        <v>37194.299999999988</v>
      </c>
      <c r="F49" s="697">
        <v>0</v>
      </c>
      <c r="G49" s="697">
        <f>'09120 AB_Form 2 kerk ligjo19-21'!G171-'Formati 2.1 Arsimi Baze'!G169</f>
        <v>111786.23248000001</v>
      </c>
      <c r="H49" s="1425">
        <v>404021.64000000007</v>
      </c>
      <c r="I49" s="1425">
        <v>663295.31200000003</v>
      </c>
      <c r="J49" s="1425">
        <v>667756.881024</v>
      </c>
      <c r="K49" s="1424">
        <f>ROUND(H49, 0)</f>
        <v>404022</v>
      </c>
      <c r="L49" s="1424">
        <f t="shared" si="2"/>
        <v>663295</v>
      </c>
      <c r="M49" s="1424">
        <f t="shared" si="2"/>
        <v>667757</v>
      </c>
    </row>
    <row r="50" spans="2:13" ht="15.75" thickBot="1" x14ac:dyDescent="0.25">
      <c r="C50" s="981" t="s">
        <v>2</v>
      </c>
      <c r="D50" s="692">
        <v>0</v>
      </c>
      <c r="E50" s="692">
        <v>0</v>
      </c>
      <c r="F50" s="692">
        <v>0</v>
      </c>
      <c r="G50" s="692">
        <v>0</v>
      </c>
    </row>
    <row r="51" spans="2:13" ht="15.75" thickBot="1" x14ac:dyDescent="0.25">
      <c r="C51" s="981" t="s">
        <v>28</v>
      </c>
      <c r="D51" s="692">
        <v>0</v>
      </c>
      <c r="E51" s="692">
        <v>0</v>
      </c>
      <c r="F51" s="692">
        <v>0</v>
      </c>
      <c r="G51" s="692">
        <v>0</v>
      </c>
    </row>
    <row r="52" spans="2:13" ht="15.75" thickBot="1" x14ac:dyDescent="0.25">
      <c r="C52" s="981" t="s">
        <v>30</v>
      </c>
      <c r="D52" s="692">
        <v>0</v>
      </c>
      <c r="E52" s="692">
        <v>0</v>
      </c>
      <c r="F52" s="692">
        <v>0</v>
      </c>
      <c r="G52" s="692">
        <v>0</v>
      </c>
    </row>
    <row r="53" spans="2:13" ht="15.75" thickBot="1" x14ac:dyDescent="0.25">
      <c r="C53" s="981" t="s">
        <v>3</v>
      </c>
      <c r="D53" s="692"/>
      <c r="E53" s="692"/>
      <c r="F53" s="692"/>
      <c r="G53" s="692"/>
    </row>
    <row r="54" spans="2:13" x14ac:dyDescent="0.2">
      <c r="C54" s="980" t="s">
        <v>68</v>
      </c>
      <c r="D54" s="696">
        <f>SUM(D47:D53)</f>
        <v>0</v>
      </c>
      <c r="E54" s="1455">
        <f>SUM(E47:E53)</f>
        <v>2326492.2999999998</v>
      </c>
      <c r="F54" s="1455">
        <f>SUM(F47:F53)</f>
        <v>4991218</v>
      </c>
      <c r="G54" s="1455">
        <f>SUM(G47:G53)</f>
        <v>7974700.2324799998</v>
      </c>
    </row>
    <row r="55" spans="2:13" ht="15.75" thickBot="1" x14ac:dyDescent="0.3">
      <c r="C55" s="1440" t="s">
        <v>70</v>
      </c>
      <c r="D55" s="637">
        <f>D54-D39</f>
        <v>0</v>
      </c>
      <c r="E55" s="637">
        <f>E54-E39</f>
        <v>0</v>
      </c>
      <c r="F55" s="637">
        <f>F54-F39</f>
        <v>-479.48800000175834</v>
      </c>
      <c r="G55" s="1454">
        <f>G54-G39</f>
        <v>0</v>
      </c>
    </row>
    <row r="56" spans="2:13" ht="42" customHeight="1" thickBot="1" x14ac:dyDescent="0.3">
      <c r="B56" s="693" t="s">
        <v>640</v>
      </c>
      <c r="C56" s="1436" t="s">
        <v>639</v>
      </c>
      <c r="D56" s="2492" t="s">
        <v>638</v>
      </c>
      <c r="E56" s="2493"/>
      <c r="F56" s="2493"/>
      <c r="G56" s="2494"/>
    </row>
    <row r="57" spans="2:13" ht="23.25" customHeight="1" thickBot="1" x14ac:dyDescent="0.3">
      <c r="C57" s="2349" t="s">
        <v>637</v>
      </c>
      <c r="D57" s="2350"/>
      <c r="E57" s="2350"/>
      <c r="F57" s="2350"/>
      <c r="G57" s="2351"/>
      <c r="J57" s="684"/>
    </row>
    <row r="58" spans="2:13" ht="18.600000000000001" customHeight="1" x14ac:dyDescent="0.2">
      <c r="C58" s="1441" t="s">
        <v>636</v>
      </c>
      <c r="D58" s="687">
        <f>D59/D62</f>
        <v>9.4359969804809665E-2</v>
      </c>
      <c r="E58" s="687">
        <f>E59/E62</f>
        <v>9.9065369479667681E-2</v>
      </c>
      <c r="F58" s="687">
        <f>F59/F62</f>
        <v>0.1021694558350881</v>
      </c>
      <c r="G58" s="687">
        <f>G59/G62</f>
        <v>0.10536075522589346</v>
      </c>
    </row>
    <row r="59" spans="2:13" x14ac:dyDescent="0.2">
      <c r="C59" s="1441" t="s">
        <v>635</v>
      </c>
      <c r="D59" s="692">
        <v>28000</v>
      </c>
      <c r="E59" s="692">
        <v>29000</v>
      </c>
      <c r="F59" s="692">
        <v>29500</v>
      </c>
      <c r="G59" s="692">
        <v>30000</v>
      </c>
    </row>
    <row r="60" spans="2:13" ht="17.45" customHeight="1" x14ac:dyDescent="0.2">
      <c r="C60" s="1441" t="s">
        <v>634</v>
      </c>
      <c r="D60" s="687">
        <f>D61/D63</f>
        <v>0.29585798816568049</v>
      </c>
      <c r="E60" s="687">
        <f>E61/E63</f>
        <v>0.29585798816568049</v>
      </c>
      <c r="F60" s="687">
        <f>F61/F63</f>
        <v>0.29585798816568049</v>
      </c>
      <c r="G60" s="687">
        <f>G61/G63</f>
        <v>0.29585798816568049</v>
      </c>
    </row>
    <row r="61" spans="2:13" ht="17.45" customHeight="1" x14ac:dyDescent="0.2">
      <c r="C61" s="1441" t="s">
        <v>633</v>
      </c>
      <c r="D61" s="692">
        <v>7000</v>
      </c>
      <c r="E61" s="692">
        <v>7000</v>
      </c>
      <c r="F61" s="692">
        <v>7000</v>
      </c>
      <c r="G61" s="692">
        <v>7000</v>
      </c>
    </row>
    <row r="62" spans="2:13" x14ac:dyDescent="0.25">
      <c r="C62" s="1441" t="s">
        <v>632</v>
      </c>
      <c r="D62" s="691">
        <v>296736</v>
      </c>
      <c r="E62" s="691">
        <f>D62-4000</f>
        <v>292736</v>
      </c>
      <c r="F62" s="691">
        <f>E62-4000</f>
        <v>288736</v>
      </c>
      <c r="G62" s="691">
        <f>F62-4000</f>
        <v>284736</v>
      </c>
    </row>
    <row r="63" spans="2:13" ht="15.75" thickBot="1" x14ac:dyDescent="0.3">
      <c r="C63" s="1441" t="s">
        <v>631</v>
      </c>
      <c r="D63" s="689">
        <v>23660</v>
      </c>
      <c r="E63" s="689">
        <v>23660</v>
      </c>
      <c r="F63" s="689">
        <v>23660</v>
      </c>
      <c r="G63" s="689">
        <v>23660</v>
      </c>
    </row>
    <row r="64" spans="2:13" ht="17.45" customHeight="1" thickBot="1" x14ac:dyDescent="0.3">
      <c r="C64" s="2346" t="s">
        <v>630</v>
      </c>
      <c r="D64" s="2347"/>
      <c r="E64" s="2347"/>
      <c r="F64" s="2347"/>
      <c r="G64" s="2348"/>
    </row>
    <row r="65" spans="3:11" ht="15" customHeight="1" thickBot="1" x14ac:dyDescent="0.3">
      <c r="C65" s="2146" t="s">
        <v>121</v>
      </c>
      <c r="D65" s="2147"/>
      <c r="E65" s="2147"/>
      <c r="F65" s="2147"/>
      <c r="G65" s="2148"/>
    </row>
    <row r="66" spans="3:11" ht="22.9" customHeight="1" thickBot="1" x14ac:dyDescent="0.3">
      <c r="C66" s="1254" t="s">
        <v>629</v>
      </c>
      <c r="D66" s="2331" t="s">
        <v>628</v>
      </c>
      <c r="E66" s="2332"/>
      <c r="F66" s="2332"/>
      <c r="G66" s="2333"/>
    </row>
    <row r="67" spans="3:11" ht="24.6" customHeight="1" thickBot="1" x14ac:dyDescent="0.3">
      <c r="C67" s="1158" t="s">
        <v>10</v>
      </c>
      <c r="D67" s="2331" t="s">
        <v>628</v>
      </c>
      <c r="E67" s="2332"/>
      <c r="F67" s="2332"/>
      <c r="G67" s="2333"/>
    </row>
    <row r="68" spans="3:11" ht="15.75" thickBot="1" x14ac:dyDescent="0.3">
      <c r="C68" s="1158" t="s">
        <v>13</v>
      </c>
      <c r="D68" s="2334" t="s">
        <v>627</v>
      </c>
      <c r="E68" s="2335"/>
      <c r="F68" s="2335"/>
      <c r="G68" s="2336"/>
    </row>
    <row r="69" spans="3:11" ht="12.75" customHeight="1" x14ac:dyDescent="0.25">
      <c r="C69" s="2495"/>
      <c r="D69" s="657">
        <v>2018</v>
      </c>
      <c r="E69" s="657">
        <v>2019</v>
      </c>
      <c r="F69" s="657">
        <v>2020</v>
      </c>
      <c r="G69" s="657">
        <v>2021</v>
      </c>
    </row>
    <row r="70" spans="3:11" ht="18" customHeight="1" thickBot="1" x14ac:dyDescent="0.3">
      <c r="C70" s="2496"/>
      <c r="D70" s="656" t="s">
        <v>6</v>
      </c>
      <c r="E70" s="656" t="s">
        <v>7</v>
      </c>
      <c r="F70" s="656" t="s">
        <v>7</v>
      </c>
      <c r="G70" s="656" t="s">
        <v>7</v>
      </c>
    </row>
    <row r="71" spans="3:11" ht="15.75" thickBot="1" x14ac:dyDescent="0.3">
      <c r="C71" s="1158" t="s">
        <v>9</v>
      </c>
      <c r="D71" s="673">
        <v>0</v>
      </c>
      <c r="E71" s="673">
        <v>36000</v>
      </c>
      <c r="F71" s="673">
        <v>36500</v>
      </c>
      <c r="G71" s="673">
        <v>37000</v>
      </c>
    </row>
    <row r="72" spans="3:11" ht="15.75" thickBot="1" x14ac:dyDescent="0.3">
      <c r="C72" s="1158" t="s">
        <v>14</v>
      </c>
      <c r="D72" s="673">
        <f>'09120 AB_Form 2 kerk ligjo19-21'!D217-'Formati 2.1 Arsimi Baze'!D215</f>
        <v>0</v>
      </c>
      <c r="E72" s="673">
        <f>'09120 AB_Form 2 kerk ligjo19-21'!E217-'Formati 2.1 Arsimi Baze'!E215</f>
        <v>56000</v>
      </c>
      <c r="F72" s="673">
        <f>'09120 AB_Form 2 kerk ligjo19-21'!F217-'Formati 2.1 Arsimi Baze'!F215</f>
        <v>57000</v>
      </c>
      <c r="G72" s="673">
        <f>'09120 AB_Form 2 kerk ligjo19-21'!G217-'Formati 2.1 Arsimi Baze'!G215</f>
        <v>58000</v>
      </c>
    </row>
    <row r="73" spans="3:11" ht="15.75" thickBot="1" x14ac:dyDescent="0.3">
      <c r="C73" s="1158" t="s">
        <v>23</v>
      </c>
      <c r="D73" s="680">
        <v>15.71</v>
      </c>
      <c r="E73" s="680">
        <f>E72/E71</f>
        <v>1.5555555555555556</v>
      </c>
      <c r="F73" s="680">
        <f t="shared" ref="F73:G73" si="3">F72/F71</f>
        <v>1.5616438356164384</v>
      </c>
      <c r="G73" s="680">
        <f t="shared" si="3"/>
        <v>1.5675675675675675</v>
      </c>
    </row>
    <row r="74" spans="3:11" ht="15.75" thickBot="1" x14ac:dyDescent="0.25">
      <c r="C74" s="1158" t="s">
        <v>15</v>
      </c>
      <c r="D74" s="688"/>
      <c r="E74" s="687" t="e">
        <f t="shared" ref="E74:G76" si="4">E71/D71-1</f>
        <v>#DIV/0!</v>
      </c>
      <c r="F74" s="687">
        <f t="shared" si="4"/>
        <v>1.388888888888884E-2</v>
      </c>
      <c r="G74" s="687">
        <f t="shared" si="4"/>
        <v>1.3698630136986356E-2</v>
      </c>
      <c r="I74" s="652"/>
      <c r="J74" s="652"/>
      <c r="K74" s="652"/>
    </row>
    <row r="75" spans="3:11" ht="15.75" thickBot="1" x14ac:dyDescent="0.25">
      <c r="C75" s="1158" t="s">
        <v>16</v>
      </c>
      <c r="D75" s="688"/>
      <c r="E75" s="687" t="e">
        <f t="shared" si="4"/>
        <v>#DIV/0!</v>
      </c>
      <c r="F75" s="687">
        <f t="shared" si="4"/>
        <v>1.7857142857142794E-2</v>
      </c>
      <c r="G75" s="687">
        <f t="shared" si="4"/>
        <v>1.7543859649122862E-2</v>
      </c>
    </row>
    <row r="76" spans="3:11" ht="15.75" thickBot="1" x14ac:dyDescent="0.25">
      <c r="C76" s="1158" t="s">
        <v>17</v>
      </c>
      <c r="D76" s="688"/>
      <c r="E76" s="687">
        <f t="shared" si="4"/>
        <v>-0.90098309640002827</v>
      </c>
      <c r="F76" s="687">
        <f t="shared" si="4"/>
        <v>3.9138943248531177E-3</v>
      </c>
      <c r="G76" s="687">
        <f t="shared" si="4"/>
        <v>3.7932669511615558E-3</v>
      </c>
    </row>
    <row r="77" spans="3:11" ht="31.15" customHeight="1" thickBot="1" x14ac:dyDescent="0.3">
      <c r="C77" s="1437" t="s">
        <v>1037</v>
      </c>
      <c r="D77" s="659"/>
      <c r="E77" s="659"/>
      <c r="F77" s="659"/>
      <c r="G77" s="658"/>
    </row>
    <row r="78" spans="3:11" ht="12.75" customHeight="1" x14ac:dyDescent="0.25">
      <c r="C78" s="1438"/>
      <c r="D78" s="657">
        <v>2018</v>
      </c>
      <c r="E78" s="657">
        <v>2019</v>
      </c>
      <c r="F78" s="657">
        <v>2020</v>
      </c>
      <c r="G78" s="657">
        <v>2021</v>
      </c>
    </row>
    <row r="79" spans="3:11" ht="9" customHeight="1" thickBot="1" x14ac:dyDescent="0.3">
      <c r="C79" s="1439"/>
      <c r="D79" s="656" t="s">
        <v>6</v>
      </c>
      <c r="E79" s="656" t="s">
        <v>7</v>
      </c>
      <c r="F79" s="656" t="s">
        <v>7</v>
      </c>
      <c r="G79" s="656" t="s">
        <v>7</v>
      </c>
    </row>
    <row r="80" spans="3:11" ht="15.75" thickBot="1" x14ac:dyDescent="0.3">
      <c r="C80" s="981" t="s">
        <v>0</v>
      </c>
      <c r="D80" s="655">
        <v>0</v>
      </c>
      <c r="E80" s="655">
        <v>0</v>
      </c>
      <c r="F80" s="655">
        <v>0</v>
      </c>
      <c r="G80" s="655">
        <v>0</v>
      </c>
    </row>
    <row r="81" spans="3:10" ht="15.75" thickBot="1" x14ac:dyDescent="0.3">
      <c r="C81" s="981" t="s">
        <v>49</v>
      </c>
      <c r="D81" s="655">
        <v>0</v>
      </c>
      <c r="E81" s="655">
        <v>0</v>
      </c>
      <c r="F81" s="655">
        <v>0</v>
      </c>
      <c r="G81" s="655">
        <v>0</v>
      </c>
    </row>
    <row r="82" spans="3:10" ht="15.75" thickBot="1" x14ac:dyDescent="0.3">
      <c r="C82" s="981" t="s">
        <v>1</v>
      </c>
      <c r="D82" s="673">
        <f>D72</f>
        <v>0</v>
      </c>
      <c r="E82" s="673">
        <f>E72</f>
        <v>56000</v>
      </c>
      <c r="F82" s="673">
        <f>F72</f>
        <v>57000</v>
      </c>
      <c r="G82" s="673">
        <f>G72</f>
        <v>58000</v>
      </c>
      <c r="H82" s="1426">
        <f>E72*1.1</f>
        <v>61600.000000000007</v>
      </c>
      <c r="I82" s="1426">
        <f>F72*1.1</f>
        <v>62700.000000000007</v>
      </c>
      <c r="J82" s="1426">
        <f>G72*1.1</f>
        <v>63800.000000000007</v>
      </c>
    </row>
    <row r="83" spans="3:10" ht="15.75" thickBot="1" x14ac:dyDescent="0.3">
      <c r="C83" s="9" t="s">
        <v>56</v>
      </c>
      <c r="D83" s="1430"/>
      <c r="E83" s="1430"/>
      <c r="F83" s="1430"/>
      <c r="G83" s="1430"/>
      <c r="H83" s="1426">
        <f>E82-H82</f>
        <v>-5600.0000000000073</v>
      </c>
      <c r="I83" s="1426">
        <f t="shared" ref="I83:J83" si="5">F82-I82</f>
        <v>-5700.0000000000073</v>
      </c>
      <c r="J83" s="1426">
        <f t="shared" si="5"/>
        <v>-5800.0000000000073</v>
      </c>
    </row>
    <row r="84" spans="3:10" ht="15.75" thickBot="1" x14ac:dyDescent="0.3">
      <c r="C84" s="9" t="s">
        <v>57</v>
      </c>
      <c r="D84" s="1430"/>
      <c r="E84" s="1430"/>
      <c r="F84" s="1430"/>
      <c r="G84" s="1430"/>
      <c r="H84" s="1426"/>
      <c r="I84" s="1426"/>
      <c r="J84" s="1426"/>
    </row>
    <row r="85" spans="3:10" ht="15.75" thickBot="1" x14ac:dyDescent="0.3">
      <c r="C85" s="981" t="s">
        <v>2</v>
      </c>
      <c r="D85" s="639">
        <v>0</v>
      </c>
      <c r="E85" s="639">
        <v>0</v>
      </c>
      <c r="F85" s="639">
        <v>0</v>
      </c>
      <c r="G85" s="639">
        <v>0</v>
      </c>
    </row>
    <row r="86" spans="3:10" ht="15.75" thickBot="1" x14ac:dyDescent="0.3">
      <c r="C86" s="981" t="s">
        <v>28</v>
      </c>
      <c r="D86" s="639">
        <v>0</v>
      </c>
      <c r="E86" s="639">
        <v>0</v>
      </c>
      <c r="F86" s="639">
        <v>0</v>
      </c>
      <c r="G86" s="639">
        <v>0</v>
      </c>
    </row>
    <row r="87" spans="3:10" ht="15.75" thickBot="1" x14ac:dyDescent="0.3">
      <c r="C87" s="981" t="s">
        <v>30</v>
      </c>
      <c r="D87" s="639">
        <v>0</v>
      </c>
      <c r="E87" s="639">
        <v>0</v>
      </c>
      <c r="F87" s="639">
        <v>0</v>
      </c>
      <c r="G87" s="639">
        <v>0</v>
      </c>
    </row>
    <row r="88" spans="3:10" ht="15.75" thickBot="1" x14ac:dyDescent="0.3">
      <c r="C88" s="981" t="s">
        <v>3</v>
      </c>
      <c r="D88" s="677"/>
      <c r="E88" s="677"/>
      <c r="F88" s="677"/>
      <c r="G88" s="677"/>
    </row>
    <row r="89" spans="3:10" x14ac:dyDescent="0.25">
      <c r="C89" s="980" t="s">
        <v>68</v>
      </c>
      <c r="D89" s="673">
        <f>SUM(D80:D88)</f>
        <v>0</v>
      </c>
      <c r="E89" s="673">
        <f>SUM(E80:E88)</f>
        <v>56000</v>
      </c>
      <c r="F89" s="673">
        <f>SUM(F80:F88)</f>
        <v>57000</v>
      </c>
      <c r="G89" s="673">
        <f>SUM(G80:G88)</f>
        <v>58000</v>
      </c>
    </row>
    <row r="90" spans="3:10" ht="15.75" thickBot="1" x14ac:dyDescent="0.3">
      <c r="C90" s="1440" t="s">
        <v>70</v>
      </c>
      <c r="D90" s="637">
        <f>D89-D72</f>
        <v>0</v>
      </c>
      <c r="E90" s="637">
        <f>E89-E72</f>
        <v>0</v>
      </c>
      <c r="F90" s="637">
        <f>F89-F72</f>
        <v>0</v>
      </c>
      <c r="G90" s="637">
        <f>G89-G72</f>
        <v>0</v>
      </c>
    </row>
    <row r="91" spans="3:10" ht="88.9" customHeight="1" thickBot="1" x14ac:dyDescent="0.3">
      <c r="C91" s="685" t="s">
        <v>620</v>
      </c>
      <c r="D91" s="2339" t="s">
        <v>619</v>
      </c>
      <c r="E91" s="2340"/>
      <c r="F91" s="2340"/>
      <c r="G91" s="2341"/>
    </row>
    <row r="92" spans="3:10" ht="15.75" thickBot="1" x14ac:dyDescent="0.3">
      <c r="C92" s="1440"/>
      <c r="D92" s="1456"/>
      <c r="E92" s="1456"/>
      <c r="F92" s="1456"/>
      <c r="G92" s="637"/>
    </row>
    <row r="93" spans="3:10" ht="15.75" thickBot="1" x14ac:dyDescent="0.3">
      <c r="C93" s="1254" t="s">
        <v>608</v>
      </c>
      <c r="D93" s="2364" t="s">
        <v>606</v>
      </c>
      <c r="E93" s="2365"/>
      <c r="F93" s="2365"/>
      <c r="G93" s="2366"/>
    </row>
    <row r="94" spans="3:10" ht="17.25" customHeight="1" thickBot="1" x14ac:dyDescent="0.3">
      <c r="C94" s="1158" t="s">
        <v>10</v>
      </c>
      <c r="D94" s="2364" t="s">
        <v>1038</v>
      </c>
      <c r="E94" s="2365"/>
      <c r="F94" s="2365"/>
      <c r="G94" s="2366"/>
    </row>
    <row r="95" spans="3:10" ht="15.75" thickBot="1" x14ac:dyDescent="0.3">
      <c r="C95" s="1158" t="s">
        <v>13</v>
      </c>
      <c r="D95" s="2334" t="s">
        <v>606</v>
      </c>
      <c r="E95" s="2335"/>
      <c r="F95" s="2335"/>
      <c r="G95" s="2336"/>
    </row>
    <row r="96" spans="3:10" ht="12.75" customHeight="1" x14ac:dyDescent="0.25">
      <c r="C96" s="2495"/>
      <c r="D96" s="657">
        <v>2018</v>
      </c>
      <c r="E96" s="657">
        <v>2019</v>
      </c>
      <c r="F96" s="657">
        <v>2020</v>
      </c>
      <c r="G96" s="657">
        <v>2021</v>
      </c>
    </row>
    <row r="97" spans="3:11" ht="15" customHeight="1" thickBot="1" x14ac:dyDescent="0.3">
      <c r="C97" s="2496"/>
      <c r="D97" s="656" t="s">
        <v>6</v>
      </c>
      <c r="E97" s="656" t="s">
        <v>7</v>
      </c>
      <c r="F97" s="656" t="s">
        <v>7</v>
      </c>
      <c r="G97" s="656" t="s">
        <v>7</v>
      </c>
    </row>
    <row r="98" spans="3:11" ht="15.75" thickBot="1" x14ac:dyDescent="0.3">
      <c r="C98" s="1158" t="s">
        <v>9</v>
      </c>
      <c r="D98" s="673">
        <f>'09120 AB_Form 2 kerk ligjo19-21'!D295-'Formati 2.1 Arsimi Baze'!D289</f>
        <v>0</v>
      </c>
      <c r="E98" s="673">
        <f>'09120 AB_Form 2 kerk ligjo19-21'!E295-'Formati 2.1 Arsimi Baze'!E289</f>
        <v>66</v>
      </c>
      <c r="F98" s="673">
        <f>'09120 AB_Form 2 kerk ligjo19-21'!F295-'Formati 2.1 Arsimi Baze'!F289</f>
        <v>109</v>
      </c>
      <c r="G98" s="673">
        <f>'09120 AB_Form 2 kerk ligjo19-21'!G295-'Formati 2.1 Arsimi Baze'!G289</f>
        <v>130</v>
      </c>
      <c r="H98" s="617">
        <v>108</v>
      </c>
      <c r="I98" s="617">
        <v>86</v>
      </c>
      <c r="J98" s="617">
        <v>86</v>
      </c>
    </row>
    <row r="99" spans="3:11" ht="15.75" thickBot="1" x14ac:dyDescent="0.3">
      <c r="C99" s="1158" t="s">
        <v>14</v>
      </c>
      <c r="D99" s="673">
        <f>'09120 AB_Form 2 kerk ligjo19-21'!D296-'Formati 2.1 Arsimi Baze'!D290</f>
        <v>0</v>
      </c>
      <c r="E99" s="673">
        <f>'09120 AB_Form 2 kerk ligjo19-21'!E296-'Formati 2.1 Arsimi Baze'!E290</f>
        <v>300000</v>
      </c>
      <c r="F99" s="673">
        <f>'09120 AB_Form 2 kerk ligjo19-21'!F296-'Formati 2.1 Arsimi Baze'!F290</f>
        <v>500000</v>
      </c>
      <c r="G99" s="673">
        <f>'09120 AB_Form 2 kerk ligjo19-21'!G296-'Formati 2.1 Arsimi Baze'!G290</f>
        <v>600000</v>
      </c>
      <c r="H99" s="642">
        <v>500000</v>
      </c>
      <c r="I99" s="642">
        <v>400000</v>
      </c>
      <c r="J99" s="642">
        <v>400000</v>
      </c>
    </row>
    <row r="100" spans="3:11" ht="15.75" thickBot="1" x14ac:dyDescent="0.3">
      <c r="C100" s="1158" t="s">
        <v>23</v>
      </c>
      <c r="D100" s="673" t="e">
        <f>D99/D98</f>
        <v>#DIV/0!</v>
      </c>
      <c r="E100" s="673">
        <f>E99/E98</f>
        <v>4545.454545454545</v>
      </c>
      <c r="F100" s="673">
        <f>F99/F98</f>
        <v>4587.1559633027518</v>
      </c>
      <c r="G100" s="673">
        <f>G99/G98</f>
        <v>4615.3846153846152</v>
      </c>
    </row>
    <row r="101" spans="3:11" ht="15.75" thickBot="1" x14ac:dyDescent="0.3">
      <c r="C101" s="1158" t="s">
        <v>15</v>
      </c>
      <c r="D101" s="673"/>
      <c r="E101" s="675" t="e">
        <f t="shared" ref="E101:G103" si="6">E98/D98-1</f>
        <v>#DIV/0!</v>
      </c>
      <c r="F101" s="675">
        <f t="shared" si="6"/>
        <v>0.6515151515151516</v>
      </c>
      <c r="G101" s="675">
        <f t="shared" si="6"/>
        <v>0.19266055045871555</v>
      </c>
      <c r="I101" s="652"/>
      <c r="J101" s="652"/>
      <c r="K101" s="652"/>
    </row>
    <row r="102" spans="3:11" ht="15.75" thickBot="1" x14ac:dyDescent="0.3">
      <c r="C102" s="1158" t="s">
        <v>16</v>
      </c>
      <c r="D102" s="673"/>
      <c r="E102" s="675" t="e">
        <f t="shared" si="6"/>
        <v>#DIV/0!</v>
      </c>
      <c r="F102" s="675">
        <f t="shared" si="6"/>
        <v>0.66666666666666674</v>
      </c>
      <c r="G102" s="675">
        <f t="shared" si="6"/>
        <v>0.19999999999999996</v>
      </c>
    </row>
    <row r="103" spans="3:11" ht="15.75" thickBot="1" x14ac:dyDescent="0.3">
      <c r="C103" s="1158" t="s">
        <v>17</v>
      </c>
      <c r="D103" s="673"/>
      <c r="E103" s="675" t="e">
        <f t="shared" si="6"/>
        <v>#DIV/0!</v>
      </c>
      <c r="F103" s="675">
        <f t="shared" si="6"/>
        <v>9.1743119266054496E-3</v>
      </c>
      <c r="G103" s="675">
        <f t="shared" si="6"/>
        <v>6.1538461538461764E-3</v>
      </c>
    </row>
    <row r="104" spans="3:11" ht="15.75" thickBot="1" x14ac:dyDescent="0.3">
      <c r="C104" s="2352" t="s">
        <v>69</v>
      </c>
      <c r="D104" s="2353"/>
      <c r="E104" s="2353"/>
      <c r="F104" s="2353"/>
      <c r="G104" s="2354"/>
    </row>
    <row r="105" spans="3:11" ht="12.75" customHeight="1" x14ac:dyDescent="0.25">
      <c r="C105" s="2495"/>
      <c r="D105" s="657">
        <v>2018</v>
      </c>
      <c r="E105" s="657">
        <v>2019</v>
      </c>
      <c r="F105" s="657">
        <v>2020</v>
      </c>
      <c r="G105" s="657">
        <v>2021</v>
      </c>
    </row>
    <row r="106" spans="3:11" ht="15" customHeight="1" thickBot="1" x14ac:dyDescent="0.3">
      <c r="C106" s="2496"/>
      <c r="D106" s="656" t="s">
        <v>6</v>
      </c>
      <c r="E106" s="656" t="s">
        <v>7</v>
      </c>
      <c r="F106" s="656" t="s">
        <v>7</v>
      </c>
      <c r="G106" s="656" t="s">
        <v>7</v>
      </c>
    </row>
    <row r="107" spans="3:11" ht="15.75" thickBot="1" x14ac:dyDescent="0.3">
      <c r="C107" s="981" t="s">
        <v>104</v>
      </c>
      <c r="D107" s="655"/>
      <c r="E107" s="655"/>
      <c r="F107" s="655"/>
      <c r="G107" s="655"/>
    </row>
    <row r="108" spans="3:11" ht="15.75" thickBot="1" x14ac:dyDescent="0.3">
      <c r="C108" s="981" t="s">
        <v>105</v>
      </c>
      <c r="D108" s="673">
        <f>D99</f>
        <v>0</v>
      </c>
      <c r="E108" s="673">
        <f>E99</f>
        <v>300000</v>
      </c>
      <c r="F108" s="673">
        <f>F99</f>
        <v>500000</v>
      </c>
      <c r="G108" s="673">
        <f>G99</f>
        <v>600000</v>
      </c>
    </row>
    <row r="109" spans="3:11" ht="15.75" thickBot="1" x14ac:dyDescent="0.3">
      <c r="C109" s="980" t="s">
        <v>68</v>
      </c>
      <c r="D109" s="673">
        <f>D108+D107</f>
        <v>0</v>
      </c>
      <c r="E109" s="673">
        <f>E108+E107</f>
        <v>300000</v>
      </c>
      <c r="F109" s="673">
        <f>F108+F107</f>
        <v>500000</v>
      </c>
      <c r="G109" s="673">
        <f>G108+G107</f>
        <v>600000</v>
      </c>
    </row>
    <row r="110" spans="3:11" x14ac:dyDescent="0.25">
      <c r="C110" s="2497" t="s">
        <v>102</v>
      </c>
      <c r="D110" s="2370" t="s">
        <v>1036</v>
      </c>
      <c r="E110" s="2371"/>
      <c r="F110" s="2371"/>
      <c r="G110" s="2372"/>
    </row>
    <row r="111" spans="3:11" x14ac:dyDescent="0.25">
      <c r="C111" s="2498"/>
      <c r="D111" s="2373"/>
      <c r="E111" s="2374"/>
      <c r="F111" s="2374"/>
      <c r="G111" s="2375"/>
    </row>
    <row r="112" spans="3:11" ht="78" customHeight="1" thickBot="1" x14ac:dyDescent="0.3">
      <c r="C112" s="2499"/>
      <c r="D112" s="2376"/>
      <c r="E112" s="2377"/>
      <c r="F112" s="2377"/>
      <c r="G112" s="2378"/>
    </row>
    <row r="113" spans="3:11" ht="70.900000000000006" customHeight="1" thickBot="1" x14ac:dyDescent="0.3">
      <c r="C113" s="1254" t="s">
        <v>604</v>
      </c>
      <c r="D113" s="2331" t="s">
        <v>1034</v>
      </c>
      <c r="E113" s="2332"/>
      <c r="F113" s="2332"/>
      <c r="G113" s="2333"/>
    </row>
    <row r="114" spans="3:11" ht="48" customHeight="1" thickBot="1" x14ac:dyDescent="0.3">
      <c r="C114" s="1158" t="s">
        <v>10</v>
      </c>
      <c r="D114" s="2331" t="s">
        <v>1035</v>
      </c>
      <c r="E114" s="2332"/>
      <c r="F114" s="2332"/>
      <c r="G114" s="2333"/>
    </row>
    <row r="115" spans="3:11" ht="15.75" thickBot="1" x14ac:dyDescent="0.3">
      <c r="C115" s="1158" t="s">
        <v>13</v>
      </c>
      <c r="D115" s="2334" t="s">
        <v>602</v>
      </c>
      <c r="E115" s="2335"/>
      <c r="F115" s="2335"/>
      <c r="G115" s="2336"/>
    </row>
    <row r="116" spans="3:11" ht="12.75" customHeight="1" x14ac:dyDescent="0.25">
      <c r="C116" s="2495"/>
      <c r="D116" s="657">
        <v>2018</v>
      </c>
      <c r="E116" s="657">
        <v>2019</v>
      </c>
      <c r="F116" s="657">
        <v>2020</v>
      </c>
      <c r="G116" s="657">
        <v>2021</v>
      </c>
    </row>
    <row r="117" spans="3:11" ht="22.15" customHeight="1" thickBot="1" x14ac:dyDescent="0.3">
      <c r="C117" s="2496"/>
      <c r="D117" s="656" t="s">
        <v>6</v>
      </c>
      <c r="E117" s="656" t="s">
        <v>7</v>
      </c>
      <c r="F117" s="656" t="s">
        <v>7</v>
      </c>
      <c r="G117" s="656" t="s">
        <v>7</v>
      </c>
    </row>
    <row r="118" spans="3:11" ht="15.75" thickBot="1" x14ac:dyDescent="0.3">
      <c r="C118" s="1158" t="s">
        <v>9</v>
      </c>
      <c r="D118" s="669">
        <f>'09120 AB_Form 2 kerk ligjo19-21'!D315-'Formati 2.1 Arsimi Baze'!D309</f>
        <v>0</v>
      </c>
      <c r="E118" s="669">
        <f>'09120 AB_Form 2 kerk ligjo19-21'!E315-'Formati 2.1 Arsimi Baze'!E309</f>
        <v>345</v>
      </c>
      <c r="F118" s="669">
        <f>'09120 AB_Form 2 kerk ligjo19-21'!F315-'Formati 2.1 Arsimi Baze'!F309</f>
        <v>200</v>
      </c>
      <c r="G118" s="669">
        <f>'09120 AB_Form 2 kerk ligjo19-21'!G315-'Formati 2.1 Arsimi Baze'!G309</f>
        <v>320</v>
      </c>
      <c r="H118" s="617">
        <v>192</v>
      </c>
      <c r="I118" s="617">
        <v>400</v>
      </c>
      <c r="J118" s="617">
        <v>320</v>
      </c>
    </row>
    <row r="119" spans="3:11" ht="15.75" thickBot="1" x14ac:dyDescent="0.3">
      <c r="C119" s="1158" t="s">
        <v>14</v>
      </c>
      <c r="D119" s="669">
        <f>'09120 AB_Form 2 kerk ligjo19-21'!D316-'Formati 2.1 Arsimi Baze'!D310</f>
        <v>0</v>
      </c>
      <c r="E119" s="669">
        <f>'09120 AB_Form 2 kerk ligjo19-21'!E316-'Formati 2.1 Arsimi Baze'!E310</f>
        <v>1220000</v>
      </c>
      <c r="F119" s="669">
        <f>'09120 AB_Form 2 kerk ligjo19-21'!F316-'Formati 2.1 Arsimi Baze'!F310</f>
        <v>708500</v>
      </c>
      <c r="G119" s="669">
        <f>'09120 AB_Form 2 kerk ligjo19-21'!G316-'Formati 2.1 Arsimi Baze'!G310</f>
        <v>1147000</v>
      </c>
      <c r="H119" s="617">
        <v>680000</v>
      </c>
      <c r="I119" s="617">
        <v>1417000</v>
      </c>
      <c r="J119" s="617">
        <v>1147000</v>
      </c>
    </row>
    <row r="120" spans="3:11" ht="15.75" thickBot="1" x14ac:dyDescent="0.3">
      <c r="C120" s="1158" t="s">
        <v>23</v>
      </c>
      <c r="D120" s="669" t="e">
        <f>D119/D118</f>
        <v>#DIV/0!</v>
      </c>
      <c r="E120" s="669">
        <f>E119/E118</f>
        <v>3536.231884057971</v>
      </c>
      <c r="F120" s="669">
        <f>F119/F118</f>
        <v>3542.5</v>
      </c>
      <c r="G120" s="669">
        <f>G119/G118</f>
        <v>3584.375</v>
      </c>
      <c r="H120" s="617">
        <f>H118*2.5</f>
        <v>480</v>
      </c>
      <c r="I120" s="617">
        <f>I118*1.5</f>
        <v>600</v>
      </c>
      <c r="J120" s="617">
        <f>J118*2</f>
        <v>640</v>
      </c>
    </row>
    <row r="121" spans="3:11" ht="15.75" thickBot="1" x14ac:dyDescent="0.3">
      <c r="C121" s="1158" t="s">
        <v>15</v>
      </c>
      <c r="D121" s="671"/>
      <c r="E121" s="670" t="e">
        <f t="shared" ref="E121:G123" si="7">E118/D118-1</f>
        <v>#DIV/0!</v>
      </c>
      <c r="F121" s="670">
        <f t="shared" si="7"/>
        <v>-0.42028985507246375</v>
      </c>
      <c r="G121" s="670">
        <f t="shared" si="7"/>
        <v>0.60000000000000009</v>
      </c>
      <c r="H121" s="617">
        <f>H119*2.5</f>
        <v>1700000</v>
      </c>
      <c r="I121" s="617">
        <f>I119*1.5</f>
        <v>2125500</v>
      </c>
      <c r="J121" s="617">
        <f t="shared" ref="J121" si="8">J119*2</f>
        <v>2294000</v>
      </c>
      <c r="K121" s="652"/>
    </row>
    <row r="122" spans="3:11" ht="15.75" thickBot="1" x14ac:dyDescent="0.3">
      <c r="C122" s="1158" t="s">
        <v>16</v>
      </c>
      <c r="D122" s="671"/>
      <c r="E122" s="670" t="e">
        <f t="shared" si="7"/>
        <v>#DIV/0!</v>
      </c>
      <c r="F122" s="670">
        <f t="shared" si="7"/>
        <v>-0.41926229508196722</v>
      </c>
      <c r="G122" s="670">
        <f t="shared" si="7"/>
        <v>0.61891319689484825</v>
      </c>
    </row>
    <row r="123" spans="3:11" ht="15.75" thickBot="1" x14ac:dyDescent="0.3">
      <c r="C123" s="1158" t="s">
        <v>17</v>
      </c>
      <c r="D123" s="671"/>
      <c r="E123" s="670" t="e">
        <f t="shared" si="7"/>
        <v>#DIV/0!</v>
      </c>
      <c r="F123" s="670">
        <f t="shared" si="7"/>
        <v>1.7725409836064632E-3</v>
      </c>
      <c r="G123" s="670">
        <f t="shared" si="7"/>
        <v>1.1820748059280239E-2</v>
      </c>
    </row>
    <row r="124" spans="3:11" ht="19.149999999999999" customHeight="1" thickBot="1" x14ac:dyDescent="0.3">
      <c r="C124" s="2394" t="s">
        <v>601</v>
      </c>
      <c r="D124" s="2395"/>
      <c r="E124" s="2395"/>
      <c r="F124" s="2395"/>
      <c r="G124" s="2396"/>
    </row>
    <row r="125" spans="3:11" ht="12.75" customHeight="1" x14ac:dyDescent="0.25">
      <c r="C125" s="1438"/>
      <c r="D125" s="657">
        <v>2018</v>
      </c>
      <c r="E125" s="657">
        <v>2019</v>
      </c>
      <c r="F125" s="657">
        <v>2020</v>
      </c>
      <c r="G125" s="657">
        <v>2021</v>
      </c>
    </row>
    <row r="126" spans="3:11" ht="21" customHeight="1" thickBot="1" x14ac:dyDescent="0.3">
      <c r="C126" s="1439"/>
      <c r="D126" s="656" t="s">
        <v>6</v>
      </c>
      <c r="E126" s="656" t="s">
        <v>7</v>
      </c>
      <c r="F126" s="656" t="s">
        <v>7</v>
      </c>
      <c r="G126" s="656" t="s">
        <v>7</v>
      </c>
    </row>
    <row r="127" spans="3:11" ht="15.75" thickBot="1" x14ac:dyDescent="0.3">
      <c r="C127" s="981" t="s">
        <v>104</v>
      </c>
      <c r="D127" s="639">
        <v>0</v>
      </c>
      <c r="E127" s="655">
        <v>0</v>
      </c>
      <c r="F127" s="655">
        <v>0</v>
      </c>
      <c r="G127" s="655">
        <v>0</v>
      </c>
    </row>
    <row r="128" spans="3:11" ht="15.75" thickBot="1" x14ac:dyDescent="0.3">
      <c r="C128" s="981" t="s">
        <v>105</v>
      </c>
      <c r="D128" s="1428">
        <f>D119</f>
        <v>0</v>
      </c>
      <c r="E128" s="1428">
        <f>E119</f>
        <v>1220000</v>
      </c>
      <c r="F128" s="1428">
        <f>F119</f>
        <v>708500</v>
      </c>
      <c r="G128" s="1428">
        <f>G119</f>
        <v>1147000</v>
      </c>
    </row>
    <row r="129" spans="3:11" ht="15.75" thickBot="1" x14ac:dyDescent="0.3">
      <c r="C129" s="981" t="s">
        <v>68</v>
      </c>
      <c r="D129" s="1428">
        <f>SUM(D127:D128)</f>
        <v>0</v>
      </c>
      <c r="E129" s="1428">
        <f>SUM(E127:E128)</f>
        <v>1220000</v>
      </c>
      <c r="F129" s="1428">
        <f>SUM(F127:F128)</f>
        <v>708500</v>
      </c>
      <c r="G129" s="1428">
        <f>SUM(G127:G128)</f>
        <v>1147000</v>
      </c>
    </row>
    <row r="130" spans="3:11" ht="103.9" customHeight="1" thickBot="1" x14ac:dyDescent="0.3">
      <c r="C130" s="981" t="s">
        <v>102</v>
      </c>
      <c r="D130" s="2397" t="s">
        <v>600</v>
      </c>
      <c r="E130" s="2398"/>
      <c r="F130" s="2398"/>
      <c r="G130" s="2399"/>
    </row>
    <row r="131" spans="3:11" ht="15.75" thickBot="1" x14ac:dyDescent="0.3">
      <c r="C131" s="1440" t="s">
        <v>70</v>
      </c>
      <c r="D131" s="637">
        <f>D129-D119</f>
        <v>0</v>
      </c>
      <c r="E131" s="637">
        <f>E129-E119</f>
        <v>0</v>
      </c>
      <c r="F131" s="637">
        <f>F129-F119</f>
        <v>0</v>
      </c>
      <c r="G131" s="637">
        <f>G129-G119</f>
        <v>0</v>
      </c>
    </row>
    <row r="132" spans="3:11" ht="15.75" thickBot="1" x14ac:dyDescent="0.3">
      <c r="C132" s="1254" t="s">
        <v>599</v>
      </c>
      <c r="D132" s="2364" t="s">
        <v>598</v>
      </c>
      <c r="E132" s="2365"/>
      <c r="F132" s="2365"/>
      <c r="G132" s="2366"/>
    </row>
    <row r="133" spans="3:11" ht="17.25" customHeight="1" thickBot="1" x14ac:dyDescent="0.3">
      <c r="C133" s="1158" t="s">
        <v>10</v>
      </c>
      <c r="D133" s="2364" t="s">
        <v>598</v>
      </c>
      <c r="E133" s="2365"/>
      <c r="F133" s="2365"/>
      <c r="G133" s="2366"/>
    </row>
    <row r="134" spans="3:11" ht="15.75" thickBot="1" x14ac:dyDescent="0.3">
      <c r="C134" s="1158" t="s">
        <v>13</v>
      </c>
      <c r="D134" s="2364" t="s">
        <v>597</v>
      </c>
      <c r="E134" s="2365"/>
      <c r="F134" s="2365"/>
      <c r="G134" s="2366"/>
    </row>
    <row r="135" spans="3:11" ht="12.75" customHeight="1" x14ac:dyDescent="0.25">
      <c r="C135" s="2495"/>
      <c r="D135" s="657">
        <v>2018</v>
      </c>
      <c r="E135" s="657">
        <v>2019</v>
      </c>
      <c r="F135" s="657">
        <v>2020</v>
      </c>
      <c r="G135" s="657">
        <v>2021</v>
      </c>
    </row>
    <row r="136" spans="3:11" ht="9" customHeight="1" thickBot="1" x14ac:dyDescent="0.3">
      <c r="C136" s="2496"/>
      <c r="D136" s="656" t="s">
        <v>6</v>
      </c>
      <c r="E136" s="656" t="s">
        <v>7</v>
      </c>
      <c r="F136" s="656" t="s">
        <v>7</v>
      </c>
      <c r="G136" s="656" t="s">
        <v>7</v>
      </c>
    </row>
    <row r="137" spans="3:11" ht="15.75" thickBot="1" x14ac:dyDescent="0.3">
      <c r="C137" s="1158" t="s">
        <v>9</v>
      </c>
      <c r="D137" s="668">
        <f>'09120 AB_Form 2 kerk ligjo19-21'!D334-'Formati 2.1 Arsimi Baze'!D328</f>
        <v>0</v>
      </c>
      <c r="E137" s="668">
        <f>'09120 AB_Form 2 kerk ligjo19-21'!E334-'Formati 2.1 Arsimi Baze'!E328</f>
        <v>163</v>
      </c>
      <c r="F137" s="668">
        <f>'09120 AB_Form 2 kerk ligjo19-21'!F334-'Formati 2.1 Arsimi Baze'!F328</f>
        <v>260</v>
      </c>
      <c r="G137" s="668">
        <f>'09120 AB_Form 2 kerk ligjo19-21'!G334-'Formati 2.1 Arsimi Baze'!G328</f>
        <v>387</v>
      </c>
      <c r="H137" s="667">
        <v>163</v>
      </c>
      <c r="I137" s="667">
        <v>260</v>
      </c>
      <c r="J137" s="667">
        <v>163</v>
      </c>
    </row>
    <row r="138" spans="3:11" ht="15.75" thickBot="1" x14ac:dyDescent="0.3">
      <c r="C138" s="1158" t="s">
        <v>14</v>
      </c>
      <c r="D138" s="668">
        <f>'09120 AB_Form 2 kerk ligjo19-21'!D335-'Formati 2.1 Arsimi Baze'!D329</f>
        <v>0</v>
      </c>
      <c r="E138" s="668">
        <f>'09120 AB_Form 2 kerk ligjo19-21'!E335-'Formati 2.1 Arsimi Baze'!E329</f>
        <v>50000</v>
      </c>
      <c r="F138" s="668">
        <f>'09120 AB_Form 2 kerk ligjo19-21'!F335-'Formati 2.1 Arsimi Baze'!F329</f>
        <v>80000</v>
      </c>
      <c r="G138" s="668">
        <f>'09120 AB_Form 2 kerk ligjo19-21'!G335-'Formati 2.1 Arsimi Baze'!G329</f>
        <v>120000</v>
      </c>
      <c r="H138" s="668">
        <v>50000</v>
      </c>
      <c r="I138" s="668">
        <v>80000</v>
      </c>
      <c r="J138" s="668">
        <v>50000</v>
      </c>
    </row>
    <row r="139" spans="3:11" ht="15.75" thickBot="1" x14ac:dyDescent="0.3">
      <c r="C139" s="1158" t="s">
        <v>23</v>
      </c>
      <c r="D139" s="668" t="e">
        <f>D138/D137</f>
        <v>#DIV/0!</v>
      </c>
      <c r="E139" s="668">
        <f>E138/E137</f>
        <v>306.74846625766872</v>
      </c>
      <c r="F139" s="668">
        <f>F138/F137</f>
        <v>307.69230769230768</v>
      </c>
      <c r="G139" s="668">
        <f>G138/G137</f>
        <v>310.07751937984494</v>
      </c>
      <c r="H139" s="617">
        <f>H137*2</f>
        <v>326</v>
      </c>
      <c r="I139" s="617">
        <f t="shared" ref="I139:I140" si="9">I137*2</f>
        <v>520</v>
      </c>
      <c r="J139" s="617">
        <f>J137*3.4</f>
        <v>554.19999999999993</v>
      </c>
    </row>
    <row r="140" spans="3:11" ht="15.75" thickBot="1" x14ac:dyDescent="0.3">
      <c r="C140" s="1158" t="s">
        <v>15</v>
      </c>
      <c r="D140" s="667"/>
      <c r="E140" s="666" t="e">
        <f t="shared" ref="E140:G142" si="10">E137/D137-1</f>
        <v>#DIV/0!</v>
      </c>
      <c r="F140" s="666">
        <f t="shared" si="10"/>
        <v>0.5950920245398772</v>
      </c>
      <c r="G140" s="666">
        <f t="shared" si="10"/>
        <v>0.4884615384615385</v>
      </c>
      <c r="H140" s="617">
        <f>H138*2</f>
        <v>100000</v>
      </c>
      <c r="I140" s="617">
        <f t="shared" si="9"/>
        <v>160000</v>
      </c>
      <c r="J140" s="617">
        <f>J138*3.4</f>
        <v>170000</v>
      </c>
      <c r="K140" s="652"/>
    </row>
    <row r="141" spans="3:11" ht="15.75" thickBot="1" x14ac:dyDescent="0.3">
      <c r="C141" s="1158" t="s">
        <v>16</v>
      </c>
      <c r="D141" s="667"/>
      <c r="E141" s="666" t="e">
        <f t="shared" si="10"/>
        <v>#DIV/0!</v>
      </c>
      <c r="F141" s="666">
        <f t="shared" si="10"/>
        <v>0.60000000000000009</v>
      </c>
      <c r="G141" s="666">
        <f t="shared" si="10"/>
        <v>0.5</v>
      </c>
    </row>
    <row r="142" spans="3:11" ht="15.75" thickBot="1" x14ac:dyDescent="0.3">
      <c r="C142" s="1158" t="s">
        <v>17</v>
      </c>
      <c r="D142" s="667"/>
      <c r="E142" s="666" t="e">
        <f t="shared" si="10"/>
        <v>#DIV/0!</v>
      </c>
      <c r="F142" s="666">
        <f t="shared" si="10"/>
        <v>3.0769230769229772E-3</v>
      </c>
      <c r="G142" s="666">
        <f t="shared" si="10"/>
        <v>7.7519379844961378E-3</v>
      </c>
    </row>
    <row r="143" spans="3:11" ht="20.45" customHeight="1" thickBot="1" x14ac:dyDescent="0.3">
      <c r="C143" s="2352" t="s">
        <v>596</v>
      </c>
      <c r="D143" s="2353"/>
      <c r="E143" s="2353"/>
      <c r="F143" s="2353"/>
      <c r="G143" s="2354"/>
    </row>
    <row r="144" spans="3:11" ht="9" customHeight="1" x14ac:dyDescent="0.25">
      <c r="C144" s="1438"/>
      <c r="D144" s="657">
        <v>2018</v>
      </c>
      <c r="E144" s="657">
        <v>2019</v>
      </c>
      <c r="F144" s="657">
        <v>2020</v>
      </c>
      <c r="G144" s="657">
        <v>2021</v>
      </c>
    </row>
    <row r="145" spans="3:11" ht="15.75" thickBot="1" x14ac:dyDescent="0.3">
      <c r="C145" s="1439"/>
      <c r="D145" s="656" t="s">
        <v>6</v>
      </c>
      <c r="E145" s="656" t="s">
        <v>7</v>
      </c>
      <c r="F145" s="656" t="s">
        <v>7</v>
      </c>
      <c r="G145" s="656" t="s">
        <v>7</v>
      </c>
    </row>
    <row r="146" spans="3:11" ht="15.75" thickBot="1" x14ac:dyDescent="0.3">
      <c r="C146" s="981" t="s">
        <v>104</v>
      </c>
      <c r="D146" s="639">
        <v>0</v>
      </c>
      <c r="E146" s="655">
        <v>0</v>
      </c>
      <c r="F146" s="655">
        <v>0</v>
      </c>
      <c r="G146" s="655">
        <v>0</v>
      </c>
    </row>
    <row r="147" spans="3:11" ht="16.5" thickBot="1" x14ac:dyDescent="0.3">
      <c r="C147" s="981" t="s">
        <v>105</v>
      </c>
      <c r="D147" s="635">
        <f>D138</f>
        <v>0</v>
      </c>
      <c r="E147" s="635">
        <f>E138</f>
        <v>50000</v>
      </c>
      <c r="F147" s="635">
        <f>F138</f>
        <v>80000</v>
      </c>
      <c r="G147" s="635">
        <f>G138</f>
        <v>120000</v>
      </c>
    </row>
    <row r="148" spans="3:11" ht="15.75" thickBot="1" x14ac:dyDescent="0.3">
      <c r="C148" s="1442" t="s">
        <v>68</v>
      </c>
      <c r="D148" s="653">
        <f>SUM(D146:D147)</f>
        <v>0</v>
      </c>
      <c r="E148" s="653">
        <f>E138</f>
        <v>50000</v>
      </c>
      <c r="F148" s="653">
        <f>F138</f>
        <v>80000</v>
      </c>
      <c r="G148" s="653">
        <f>G138</f>
        <v>120000</v>
      </c>
    </row>
    <row r="149" spans="3:11" ht="21" customHeight="1" thickBot="1" x14ac:dyDescent="0.3">
      <c r="C149" s="1440" t="s">
        <v>70</v>
      </c>
      <c r="D149" s="637">
        <f>D148-D138</f>
        <v>0</v>
      </c>
      <c r="E149" s="637">
        <f t="shared" ref="E149:G149" si="11">E148-E138</f>
        <v>0</v>
      </c>
      <c r="F149" s="637">
        <f t="shared" si="11"/>
        <v>0</v>
      </c>
      <c r="G149" s="637">
        <f t="shared" si="11"/>
        <v>0</v>
      </c>
      <c r="H149" s="239" t="s">
        <v>6</v>
      </c>
      <c r="I149" s="2413" t="s">
        <v>97</v>
      </c>
      <c r="J149" s="2414"/>
      <c r="K149" s="2415"/>
    </row>
    <row r="150" spans="3:11" ht="15.75" thickBot="1" x14ac:dyDescent="0.3">
      <c r="C150" s="1443"/>
      <c r="D150" s="650"/>
      <c r="E150" s="650"/>
      <c r="F150" s="650"/>
      <c r="G150" s="650"/>
      <c r="H150" s="240">
        <v>2018</v>
      </c>
      <c r="I150" s="241">
        <v>2019</v>
      </c>
      <c r="J150" s="241">
        <v>2020</v>
      </c>
      <c r="K150" s="241">
        <v>2021</v>
      </c>
    </row>
    <row r="151" spans="3:11" ht="27" customHeight="1" thickBot="1" x14ac:dyDescent="0.3">
      <c r="C151" s="1436" t="s">
        <v>116</v>
      </c>
      <c r="D151" s="1429">
        <f>D39+D72+D99+D119+D138</f>
        <v>0</v>
      </c>
      <c r="E151" s="1429">
        <f t="shared" ref="E151:G151" si="12">E39+E72+E99+E119+E138</f>
        <v>3952492.3000000007</v>
      </c>
      <c r="F151" s="1429">
        <f t="shared" si="12"/>
        <v>6337197.4880000018</v>
      </c>
      <c r="G151" s="1429">
        <f t="shared" si="12"/>
        <v>9899700.2324800007</v>
      </c>
      <c r="H151" s="254">
        <f>18014300+1148480</f>
        <v>19162780</v>
      </c>
      <c r="I151" s="251">
        <f>19116143+66141</f>
        <v>19182284</v>
      </c>
      <c r="J151" s="255">
        <f>18953236+91141</f>
        <v>19044377</v>
      </c>
      <c r="K151" s="255">
        <f>18953236+91141</f>
        <v>19044377</v>
      </c>
    </row>
    <row r="152" spans="3:11" ht="15.75" thickBot="1" x14ac:dyDescent="0.3">
      <c r="C152" s="1436" t="s">
        <v>117</v>
      </c>
      <c r="D152" s="1429">
        <f>D54+D89+D109+D129+D148</f>
        <v>0</v>
      </c>
      <c r="E152" s="1429">
        <f t="shared" ref="E152:G152" si="13">E54+E89+E109+E129+E148</f>
        <v>3952492.3</v>
      </c>
      <c r="F152" s="1429">
        <f t="shared" si="13"/>
        <v>6336718</v>
      </c>
      <c r="G152" s="1429">
        <f t="shared" si="13"/>
        <v>9899700.2324800007</v>
      </c>
      <c r="H152" s="251">
        <f>1293800-40000</f>
        <v>1253800</v>
      </c>
      <c r="I152" s="251">
        <f>1683857-5000-66141</f>
        <v>1612716</v>
      </c>
      <c r="J152" s="251">
        <f>2046764-91141</f>
        <v>1955623</v>
      </c>
      <c r="K152" s="251">
        <f>2046764-91141</f>
        <v>1955623</v>
      </c>
    </row>
    <row r="153" spans="3:11" ht="16.899999999999999" customHeight="1" thickBot="1" x14ac:dyDescent="0.3">
      <c r="C153" s="1444" t="s">
        <v>24</v>
      </c>
      <c r="D153" s="646"/>
      <c r="E153" s="313" t="e">
        <f>E152/D152-1</f>
        <v>#DIV/0!</v>
      </c>
      <c r="F153" s="313">
        <f>F152/E152-1</f>
        <v>0.60322083359909406</v>
      </c>
      <c r="G153" s="313">
        <f>G152/F152-1</f>
        <v>0.56227565002577062</v>
      </c>
      <c r="H153" s="256">
        <f>1509389+248558</f>
        <v>1757947</v>
      </c>
      <c r="I153" s="256">
        <v>1270000</v>
      </c>
      <c r="J153" s="244">
        <v>1937000</v>
      </c>
      <c r="K153" s="244">
        <v>1637000</v>
      </c>
    </row>
    <row r="154" spans="3:11" ht="16.5" thickBot="1" x14ac:dyDescent="0.3">
      <c r="C154" s="981" t="s">
        <v>0</v>
      </c>
      <c r="D154" s="635">
        <f>D47+D80</f>
        <v>0</v>
      </c>
      <c r="E154" s="635">
        <f t="shared" ref="E154:G154" si="14">E47+E80</f>
        <v>1970727</v>
      </c>
      <c r="F154" s="635">
        <f t="shared" si="14"/>
        <v>4287941</v>
      </c>
      <c r="G154" s="635">
        <f t="shared" si="14"/>
        <v>6760022</v>
      </c>
      <c r="H154" s="255">
        <v>0</v>
      </c>
      <c r="I154" s="255">
        <v>0</v>
      </c>
      <c r="J154" s="246">
        <v>0</v>
      </c>
      <c r="K154" s="246">
        <v>0</v>
      </c>
    </row>
    <row r="155" spans="3:11" ht="15.75" thickBot="1" x14ac:dyDescent="0.3">
      <c r="C155" s="1106" t="s">
        <v>25</v>
      </c>
      <c r="D155" s="639"/>
      <c r="E155" s="313" t="e">
        <f>E154/D154-1</f>
        <v>#DIV/0!</v>
      </c>
      <c r="F155" s="313">
        <f>F154/E154-1</f>
        <v>1.1758168432258755</v>
      </c>
      <c r="G155" s="313">
        <f>G154/F154-1</f>
        <v>0.57651935975798185</v>
      </c>
      <c r="H155" s="245">
        <v>0</v>
      </c>
      <c r="I155" s="245">
        <v>0</v>
      </c>
      <c r="J155" s="246">
        <v>0</v>
      </c>
      <c r="K155" s="246">
        <v>0</v>
      </c>
    </row>
    <row r="156" spans="3:11" ht="16.5" thickBot="1" x14ac:dyDescent="0.3">
      <c r="C156" s="981" t="s">
        <v>49</v>
      </c>
      <c r="D156" s="635">
        <f>D48+D81</f>
        <v>0</v>
      </c>
      <c r="E156" s="635">
        <f t="shared" ref="E156:G156" si="15">E48+E81</f>
        <v>318571</v>
      </c>
      <c r="F156" s="635">
        <f t="shared" si="15"/>
        <v>703277</v>
      </c>
      <c r="G156" s="635">
        <f t="shared" si="15"/>
        <v>1102892</v>
      </c>
      <c r="H156" s="247">
        <f>SUM(H151:H155)</f>
        <v>22174527</v>
      </c>
      <c r="I156" s="247">
        <f>SUM(I151:I155)</f>
        <v>22065000</v>
      </c>
      <c r="J156" s="244">
        <f>SUM(J151:J155)</f>
        <v>22937000</v>
      </c>
      <c r="K156" s="244">
        <f>SUM(K151:K155)</f>
        <v>22637000</v>
      </c>
    </row>
    <row r="157" spans="3:11" ht="15.75" thickBot="1" x14ac:dyDescent="0.3">
      <c r="C157" s="1106" t="s">
        <v>50</v>
      </c>
      <c r="D157" s="639"/>
      <c r="E157" s="313" t="e">
        <f>E156/D156-1</f>
        <v>#DIV/0!</v>
      </c>
      <c r="F157" s="313">
        <f>F156/E156-1</f>
        <v>1.2075989339895972</v>
      </c>
      <c r="G157" s="313">
        <f>G156/F156-1</f>
        <v>0.56821849712133332</v>
      </c>
      <c r="H157" s="645">
        <f>H152-D158-D160-D162-D164-D166</f>
        <v>1253800</v>
      </c>
      <c r="I157" s="645">
        <f>I152-E158-E160-E162-E164-E166</f>
        <v>1519521.7</v>
      </c>
      <c r="J157" s="645">
        <f>J152-F158-F160-F162-F164-F166</f>
        <v>1898623</v>
      </c>
      <c r="K157" s="645">
        <f>K152-G158-G160-G162-G164-G166</f>
        <v>1785836.76752</v>
      </c>
    </row>
    <row r="158" spans="3:11" ht="16.5" thickBot="1" x14ac:dyDescent="0.3">
      <c r="C158" s="981" t="s">
        <v>1</v>
      </c>
      <c r="D158" s="635">
        <f>D49+D82</f>
        <v>0</v>
      </c>
      <c r="E158" s="635">
        <f t="shared" ref="E158:G158" si="16">E49+E82</f>
        <v>93194.299999999988</v>
      </c>
      <c r="F158" s="635">
        <f t="shared" si="16"/>
        <v>57000</v>
      </c>
      <c r="G158" s="635">
        <f t="shared" si="16"/>
        <v>169786.23248000001</v>
      </c>
      <c r="H158" s="645">
        <f>H153-D170-D168</f>
        <v>1757947</v>
      </c>
      <c r="I158" s="645">
        <f>I153-E170-E168</f>
        <v>-300000</v>
      </c>
      <c r="J158" s="645">
        <f>J153-F170-F168</f>
        <v>648500</v>
      </c>
      <c r="K158" s="645">
        <f>K153-G170-G168</f>
        <v>-230000</v>
      </c>
    </row>
    <row r="159" spans="3:11" ht="15.75" thickBot="1" x14ac:dyDescent="0.3">
      <c r="C159" s="1106" t="s">
        <v>26</v>
      </c>
      <c r="D159" s="639"/>
      <c r="E159" s="313" t="e">
        <f>E158/D158-1</f>
        <v>#DIV/0!</v>
      </c>
      <c r="F159" s="313">
        <f>F158/E158-1</f>
        <v>-0.3883746108935846</v>
      </c>
      <c r="G159" s="313">
        <f>G158/F158-1</f>
        <v>1.9787058329824561</v>
      </c>
      <c r="H159" s="644">
        <f>H151-D154-D156</f>
        <v>19162780</v>
      </c>
      <c r="I159" s="644">
        <f>I151-E154-E156</f>
        <v>16892986</v>
      </c>
      <c r="J159" s="644">
        <f>J151-F154-F156</f>
        <v>14053159</v>
      </c>
      <c r="K159" s="644">
        <f>K151-G154-G156</f>
        <v>11181463</v>
      </c>
    </row>
    <row r="160" spans="3:11" ht="16.5" thickBot="1" x14ac:dyDescent="0.3">
      <c r="C160" s="981" t="s">
        <v>2</v>
      </c>
      <c r="D160" s="635">
        <f>D50</f>
        <v>0</v>
      </c>
      <c r="E160" s="635">
        <f t="shared" ref="E160:G160" si="17">E50</f>
        <v>0</v>
      </c>
      <c r="F160" s="635">
        <f t="shared" si="17"/>
        <v>0</v>
      </c>
      <c r="G160" s="635">
        <f t="shared" si="17"/>
        <v>0</v>
      </c>
      <c r="H160" s="643">
        <f>D151-H156</f>
        <v>-22174527</v>
      </c>
      <c r="I160" s="643">
        <f>I156-E151</f>
        <v>18112507.699999999</v>
      </c>
      <c r="J160" s="643">
        <f>J156-F151</f>
        <v>16599802.511999998</v>
      </c>
      <c r="K160" s="643">
        <f>K156-G151</f>
        <v>12737299.767519999</v>
      </c>
    </row>
    <row r="161" spans="1:11" ht="15.75" thickBot="1" x14ac:dyDescent="0.3">
      <c r="C161" s="1106" t="s">
        <v>27</v>
      </c>
      <c r="D161" s="639"/>
      <c r="E161" s="313">
        <v>0</v>
      </c>
      <c r="F161" s="313">
        <v>0</v>
      </c>
      <c r="G161" s="313">
        <v>0</v>
      </c>
      <c r="H161" s="643">
        <f>D152-H156</f>
        <v>-22174527</v>
      </c>
      <c r="I161" s="643">
        <f>E152-I156</f>
        <v>-18112507.699999999</v>
      </c>
      <c r="J161" s="643">
        <f>F152-J156</f>
        <v>-16600282</v>
      </c>
      <c r="K161" s="643">
        <f>G152-K156</f>
        <v>-12737299.767519999</v>
      </c>
    </row>
    <row r="162" spans="1:11" ht="16.5" thickBot="1" x14ac:dyDescent="0.3">
      <c r="C162" s="981" t="s">
        <v>28</v>
      </c>
      <c r="D162" s="635">
        <v>0</v>
      </c>
      <c r="E162" s="635">
        <v>0</v>
      </c>
      <c r="F162" s="635">
        <v>0</v>
      </c>
      <c r="G162" s="635">
        <v>0</v>
      </c>
      <c r="H162" s="642"/>
      <c r="I162" s="642"/>
      <c r="J162" s="642"/>
      <c r="K162" s="642"/>
    </row>
    <row r="163" spans="1:11" ht="15.75" thickBot="1" x14ac:dyDescent="0.3">
      <c r="C163" s="1106" t="s">
        <v>29</v>
      </c>
      <c r="D163" s="639"/>
      <c r="E163" s="313">
        <v>0</v>
      </c>
      <c r="F163" s="313">
        <v>0</v>
      </c>
      <c r="G163" s="313">
        <v>0</v>
      </c>
    </row>
    <row r="164" spans="1:11" ht="16.5" thickBot="1" x14ac:dyDescent="0.3">
      <c r="C164" s="981" t="s">
        <v>30</v>
      </c>
      <c r="D164" s="635">
        <v>0</v>
      </c>
      <c r="E164" s="635">
        <v>0</v>
      </c>
      <c r="F164" s="635">
        <v>0</v>
      </c>
      <c r="G164" s="635">
        <v>0</v>
      </c>
    </row>
    <row r="165" spans="1:11" ht="15.75" thickBot="1" x14ac:dyDescent="0.3">
      <c r="C165" s="1106" t="s">
        <v>31</v>
      </c>
      <c r="D165" s="639"/>
      <c r="E165" s="313">
        <v>0</v>
      </c>
      <c r="F165" s="313">
        <v>0</v>
      </c>
      <c r="G165" s="313">
        <v>0</v>
      </c>
    </row>
    <row r="166" spans="1:11" ht="16.5" thickBot="1" x14ac:dyDescent="0.3">
      <c r="C166" s="981" t="s">
        <v>3</v>
      </c>
      <c r="D166" s="635">
        <v>0</v>
      </c>
      <c r="E166" s="635">
        <v>0</v>
      </c>
      <c r="F166" s="635">
        <v>0</v>
      </c>
      <c r="G166" s="635">
        <v>0</v>
      </c>
    </row>
    <row r="167" spans="1:11" ht="15.75" thickBot="1" x14ac:dyDescent="0.3">
      <c r="C167" s="1106" t="s">
        <v>32</v>
      </c>
      <c r="D167" s="639"/>
      <c r="E167" s="313">
        <v>0</v>
      </c>
      <c r="F167" s="313">
        <v>0</v>
      </c>
      <c r="G167" s="313">
        <v>0</v>
      </c>
    </row>
    <row r="168" spans="1:11" ht="16.5" thickBot="1" x14ac:dyDescent="0.3">
      <c r="C168" s="981" t="s">
        <v>18</v>
      </c>
      <c r="D168" s="635">
        <v>0</v>
      </c>
      <c r="E168" s="635">
        <v>0</v>
      </c>
      <c r="F168" s="635">
        <v>0</v>
      </c>
      <c r="G168" s="635">
        <v>0</v>
      </c>
    </row>
    <row r="169" spans="1:11" ht="15.75" thickBot="1" x14ac:dyDescent="0.3">
      <c r="C169" s="1106" t="s">
        <v>33</v>
      </c>
      <c r="D169" s="639"/>
      <c r="E169" s="313">
        <v>0</v>
      </c>
      <c r="F169" s="313">
        <v>0</v>
      </c>
      <c r="G169" s="313">
        <v>0</v>
      </c>
    </row>
    <row r="170" spans="1:11" ht="16.5" thickBot="1" x14ac:dyDescent="0.3">
      <c r="C170" s="981" t="s">
        <v>19</v>
      </c>
      <c r="D170" s="635">
        <f>D108+D128+D147</f>
        <v>0</v>
      </c>
      <c r="E170" s="635">
        <f t="shared" ref="E170:G170" si="18">E108+E128+E147</f>
        <v>1570000</v>
      </c>
      <c r="F170" s="635">
        <f t="shared" si="18"/>
        <v>1288500</v>
      </c>
      <c r="G170" s="635">
        <f t="shared" si="18"/>
        <v>1867000</v>
      </c>
    </row>
    <row r="171" spans="1:11" ht="15.75" thickBot="1" x14ac:dyDescent="0.3">
      <c r="C171" s="1106" t="s">
        <v>34</v>
      </c>
      <c r="D171" s="639"/>
      <c r="E171" s="313" t="e">
        <f>E170/D170-1</f>
        <v>#DIV/0!</v>
      </c>
      <c r="F171" s="313">
        <f>F170/E170-1</f>
        <v>-0.17929936305732486</v>
      </c>
      <c r="G171" s="313">
        <f>G170/F170-1</f>
        <v>0.44897167248738845</v>
      </c>
    </row>
    <row r="172" spans="1:11" ht="15.75" thickBot="1" x14ac:dyDescent="0.3">
      <c r="C172" s="1440" t="s">
        <v>70</v>
      </c>
      <c r="D172" s="637">
        <f>D154+D156+D158+D160+D166+D168+D170</f>
        <v>0</v>
      </c>
      <c r="E172" s="637">
        <f>E154+E156+E158+E160+E166+E168+E170</f>
        <v>3952492.3</v>
      </c>
      <c r="F172" s="637">
        <f>F154+F156+F158+F160+F166+F168+F170</f>
        <v>6336718</v>
      </c>
      <c r="G172" s="637">
        <f>G154+G156+G158+G160+G166+G168+G170</f>
        <v>9899700.2324800007</v>
      </c>
    </row>
    <row r="173" spans="1:11" ht="16.5" thickBot="1" x14ac:dyDescent="0.3">
      <c r="C173" s="1116" t="s">
        <v>55</v>
      </c>
      <c r="D173" s="635">
        <v>23660</v>
      </c>
      <c r="E173" s="635">
        <v>23660</v>
      </c>
      <c r="F173" s="635">
        <v>23660</v>
      </c>
      <c r="G173" s="635">
        <v>23660</v>
      </c>
    </row>
    <row r="174" spans="1:11" ht="24.75" thickBot="1" x14ac:dyDescent="0.3">
      <c r="C174" s="1116" t="s">
        <v>591</v>
      </c>
      <c r="D174" s="635">
        <v>1200</v>
      </c>
      <c r="E174" s="635">
        <v>1200</v>
      </c>
      <c r="F174" s="635">
        <v>1200</v>
      </c>
      <c r="G174" s="635">
        <v>1200</v>
      </c>
      <c r="H174" s="652">
        <f>E172-E175</f>
        <v>-22064534.300000001</v>
      </c>
      <c r="I174" s="652">
        <f t="shared" ref="I174:J174" si="19">F172-F175</f>
        <v>-22936998.688000001</v>
      </c>
      <c r="J174" s="652">
        <f t="shared" si="19"/>
        <v>-22636503.699999999</v>
      </c>
    </row>
    <row r="175" spans="1:11" ht="15.75" thickBot="1" x14ac:dyDescent="0.3">
      <c r="C175" s="1255"/>
      <c r="D175" s="633">
        <f>'09120 AB_Form 2 kerk ligjo19-21'!D389-'Formati 2.1 Arsimi Baze'!D383</f>
        <v>22174527</v>
      </c>
      <c r="E175" s="633">
        <f>'09120 AB_Form 2 kerk ligjo19-21'!E389-'Formati 2.1 Arsimi Baze'!E383</f>
        <v>26017026.600000001</v>
      </c>
      <c r="F175" s="633">
        <f>'09120 AB_Form 2 kerk ligjo19-21'!F389-'Formati 2.1 Arsimi Baze'!F383</f>
        <v>29273716.688000001</v>
      </c>
      <c r="G175" s="633">
        <f>'09120 AB_Form 2 kerk ligjo19-21'!G389-'Formati 2.1 Arsimi Baze'!G383</f>
        <v>32536203.93248</v>
      </c>
      <c r="H175" s="1427">
        <v>0</v>
      </c>
      <c r="I175" s="1427">
        <v>-3951560.8850146867</v>
      </c>
      <c r="J175" s="1427">
        <v>-6336235.8656749204</v>
      </c>
      <c r="K175" s="1427">
        <v>-9898707.5848075561</v>
      </c>
    </row>
    <row r="176" spans="1:11" ht="15" customHeight="1" x14ac:dyDescent="0.25">
      <c r="A176" s="2416" t="s">
        <v>122</v>
      </c>
      <c r="B176" s="632" t="s">
        <v>80</v>
      </c>
      <c r="C176" s="1445"/>
      <c r="D176" s="2416" t="s">
        <v>83</v>
      </c>
      <c r="E176" s="632" t="s">
        <v>80</v>
      </c>
      <c r="F176" s="631"/>
      <c r="G176" s="2416" t="s">
        <v>118</v>
      </c>
      <c r="H176" s="632" t="s">
        <v>80</v>
      </c>
      <c r="I176" s="631"/>
    </row>
    <row r="177" spans="1:9" x14ac:dyDescent="0.25">
      <c r="A177" s="2417"/>
      <c r="B177" s="630" t="s">
        <v>81</v>
      </c>
      <c r="C177" s="1446"/>
      <c r="D177" s="2417"/>
      <c r="E177" s="630" t="s">
        <v>81</v>
      </c>
      <c r="F177" s="629"/>
      <c r="G177" s="2417"/>
      <c r="H177" s="630" t="s">
        <v>81</v>
      </c>
      <c r="I177" s="629"/>
    </row>
    <row r="178" spans="1:9" ht="19.5" customHeight="1" thickBot="1" x14ac:dyDescent="0.3">
      <c r="A178" s="2418"/>
      <c r="B178" s="628" t="s">
        <v>82</v>
      </c>
      <c r="C178" s="1447"/>
      <c r="D178" s="2418"/>
      <c r="E178" s="628" t="s">
        <v>82</v>
      </c>
      <c r="F178" s="627"/>
      <c r="G178" s="2418"/>
      <c r="H178" s="628" t="s">
        <v>82</v>
      </c>
      <c r="I178" s="627"/>
    </row>
    <row r="179" spans="1:9" ht="15.75" thickBot="1" x14ac:dyDescent="0.3">
      <c r="A179" s="624"/>
      <c r="B179" s="623"/>
      <c r="C179" s="1448"/>
      <c r="D179" s="625"/>
      <c r="E179" s="624"/>
      <c r="F179" s="623"/>
      <c r="G179" s="623"/>
    </row>
    <row r="180" spans="1:9" ht="15.75" thickBot="1" x14ac:dyDescent="0.3">
      <c r="A180" s="624"/>
      <c r="B180" s="623"/>
      <c r="C180" s="1449" t="s">
        <v>86</v>
      </c>
      <c r="D180" s="625"/>
      <c r="E180" s="624"/>
      <c r="F180" s="623"/>
      <c r="G180" s="623"/>
    </row>
    <row r="181" spans="1:9" s="618" customFormat="1" ht="25.9" customHeight="1" x14ac:dyDescent="0.25">
      <c r="A181" s="622"/>
      <c r="B181" s="621"/>
      <c r="C181" s="2419" t="s">
        <v>123</v>
      </c>
      <c r="D181" s="2420"/>
      <c r="E181" s="2420"/>
      <c r="F181" s="2420"/>
      <c r="G181" s="2421"/>
    </row>
    <row r="182" spans="1:9" s="618" customFormat="1" ht="24" customHeight="1" x14ac:dyDescent="0.25">
      <c r="A182" s="622"/>
      <c r="B182" s="621"/>
      <c r="C182" s="2403" t="s">
        <v>124</v>
      </c>
      <c r="D182" s="2404"/>
      <c r="E182" s="2404"/>
      <c r="F182" s="2404"/>
      <c r="G182" s="2405"/>
    </row>
    <row r="183" spans="1:9" s="618" customFormat="1" ht="19.149999999999999" customHeight="1" x14ac:dyDescent="0.25">
      <c r="C183" s="2406" t="s">
        <v>125</v>
      </c>
      <c r="D183" s="2407"/>
      <c r="E183" s="2407"/>
      <c r="F183" s="2407"/>
      <c r="G183" s="2408"/>
      <c r="H183" s="620"/>
    </row>
    <row r="184" spans="1:9" s="618" customFormat="1" ht="19.149999999999999" customHeight="1" x14ac:dyDescent="0.25">
      <c r="C184" s="2406" t="s">
        <v>126</v>
      </c>
      <c r="D184" s="2407"/>
      <c r="E184" s="2407"/>
      <c r="F184" s="2407"/>
      <c r="G184" s="2408"/>
      <c r="H184" s="620"/>
    </row>
    <row r="185" spans="1:9" s="618" customFormat="1" ht="24.6" customHeight="1" x14ac:dyDescent="0.25">
      <c r="C185" s="2406" t="s">
        <v>115</v>
      </c>
      <c r="D185" s="2407"/>
      <c r="E185" s="2407"/>
      <c r="F185" s="2407"/>
      <c r="G185" s="2408"/>
      <c r="H185" s="619"/>
    </row>
    <row r="186" spans="1:9" s="618" customFormat="1" ht="19.149999999999999" customHeight="1" x14ac:dyDescent="0.25">
      <c r="C186" s="2409" t="s">
        <v>590</v>
      </c>
      <c r="D186" s="2407"/>
      <c r="E186" s="2407"/>
      <c r="F186" s="2407"/>
      <c r="G186" s="2408"/>
    </row>
    <row r="187" spans="1:9" s="618" customFormat="1" ht="28.9" customHeight="1" thickBot="1" x14ac:dyDescent="0.3">
      <c r="C187" s="2410" t="s">
        <v>79</v>
      </c>
      <c r="D187" s="2411"/>
      <c r="E187" s="2411"/>
      <c r="F187" s="2411"/>
      <c r="G187" s="2412"/>
    </row>
  </sheetData>
  <mergeCells count="53">
    <mergeCell ref="C187:G187"/>
    <mergeCell ref="I149:K149"/>
    <mergeCell ref="A176:A178"/>
    <mergeCell ref="D176:D178"/>
    <mergeCell ref="G176:G178"/>
    <mergeCell ref="C181:G181"/>
    <mergeCell ref="C182:G182"/>
    <mergeCell ref="C183:G183"/>
    <mergeCell ref="C184:G184"/>
    <mergeCell ref="C185:G185"/>
    <mergeCell ref="C186:G186"/>
    <mergeCell ref="C143:G143"/>
    <mergeCell ref="C124:G124"/>
    <mergeCell ref="D130:G130"/>
    <mergeCell ref="D132:G132"/>
    <mergeCell ref="D133:G133"/>
    <mergeCell ref="D134:G134"/>
    <mergeCell ref="C135:C136"/>
    <mergeCell ref="C116:C117"/>
    <mergeCell ref="D93:G93"/>
    <mergeCell ref="D94:G94"/>
    <mergeCell ref="D95:G95"/>
    <mergeCell ref="C96:C97"/>
    <mergeCell ref="C104:G104"/>
    <mergeCell ref="C105:C106"/>
    <mergeCell ref="C110:C112"/>
    <mergeCell ref="D110:G112"/>
    <mergeCell ref="D113:G113"/>
    <mergeCell ref="D114:G114"/>
    <mergeCell ref="D115:G115"/>
    <mergeCell ref="D91:G91"/>
    <mergeCell ref="C65:G65"/>
    <mergeCell ref="D66:G66"/>
    <mergeCell ref="D67:G67"/>
    <mergeCell ref="D68:G68"/>
    <mergeCell ref="C69:C70"/>
    <mergeCell ref="D56:G56"/>
    <mergeCell ref="C57:G57"/>
    <mergeCell ref="C64:G64"/>
    <mergeCell ref="C32:G32"/>
    <mergeCell ref="D33:G33"/>
    <mergeCell ref="D34:G34"/>
    <mergeCell ref="D35:G35"/>
    <mergeCell ref="C36:C37"/>
    <mergeCell ref="D23:G23"/>
    <mergeCell ref="C24:G24"/>
    <mergeCell ref="C31:G31"/>
    <mergeCell ref="C8:C9"/>
    <mergeCell ref="C2:G2"/>
    <mergeCell ref="C3:G3"/>
    <mergeCell ref="D5:G5"/>
    <mergeCell ref="D6:G6"/>
    <mergeCell ref="D7:G7"/>
  </mergeCells>
  <printOptions horizontalCentered="1" verticalCentered="1"/>
  <pageMargins left="0.11811023622047245" right="0.11811023622047245" top="0.43307086614173229" bottom="0.39370078740157483" header="0.31496062992125984" footer="0.31496062992125984"/>
  <pageSetup scale="78" orientation="portrait" r:id="rId1"/>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66"/>
  <sheetViews>
    <sheetView showGridLines="0" topLeftCell="A43" zoomScaleNormal="100" workbookViewId="0">
      <selection activeCell="C19" sqref="C19:L24"/>
    </sheetView>
  </sheetViews>
  <sheetFormatPr defaultColWidth="11.42578125" defaultRowHeight="12.6" customHeight="1" x14ac:dyDescent="0.25"/>
  <cols>
    <col min="1" max="2" width="2.85546875" style="591" customWidth="1"/>
    <col min="3" max="3" width="14.140625" style="569" customWidth="1"/>
    <col min="4" max="4" width="13" style="569" customWidth="1"/>
    <col min="5" max="8" width="10.42578125" style="569" customWidth="1"/>
    <col min="9" max="9" width="8.7109375" style="569" customWidth="1"/>
    <col min="10" max="10" width="8.28515625" style="569" customWidth="1"/>
    <col min="11" max="11" width="8.140625" style="569" customWidth="1"/>
    <col min="12" max="12" width="7.7109375" style="570" customWidth="1"/>
    <col min="13" max="16384" width="11.42578125" style="591"/>
  </cols>
  <sheetData>
    <row r="1" spans="1:12" ht="12.6" customHeight="1" x14ac:dyDescent="0.25">
      <c r="A1" s="616"/>
      <c r="C1" s="773" t="s">
        <v>584</v>
      </c>
      <c r="H1" s="773"/>
    </row>
    <row r="4" spans="1:12" ht="12.6" customHeight="1" x14ac:dyDescent="0.25">
      <c r="C4" s="768" t="s">
        <v>583</v>
      </c>
      <c r="D4" s="766">
        <v>2019</v>
      </c>
    </row>
    <row r="6" spans="1:12" ht="12.6" customHeight="1" x14ac:dyDescent="0.25">
      <c r="A6" s="609" t="s">
        <v>87</v>
      </c>
      <c r="B6" s="608" t="s">
        <v>180</v>
      </c>
      <c r="C6" s="768" t="s">
        <v>88</v>
      </c>
      <c r="D6" s="772" t="s">
        <v>566</v>
      </c>
      <c r="E6" s="771"/>
      <c r="F6" s="771"/>
      <c r="G6" s="771"/>
      <c r="H6" s="771"/>
      <c r="I6" s="771"/>
      <c r="J6" s="771"/>
      <c r="K6" s="771"/>
      <c r="L6" s="770"/>
    </row>
    <row r="7" spans="1:12" ht="12.6" customHeight="1" x14ac:dyDescent="0.25">
      <c r="B7" s="610"/>
    </row>
    <row r="8" spans="1:12" ht="12.6" customHeight="1" x14ac:dyDescent="0.25">
      <c r="A8" s="609" t="s">
        <v>4</v>
      </c>
      <c r="B8" s="608" t="s">
        <v>367</v>
      </c>
      <c r="C8" s="768" t="s">
        <v>96</v>
      </c>
      <c r="D8" s="768"/>
      <c r="E8" s="2512" t="s">
        <v>481</v>
      </c>
      <c r="F8" s="2513"/>
      <c r="G8" s="2513"/>
      <c r="H8" s="2513"/>
      <c r="I8" s="2513"/>
      <c r="J8" s="2513"/>
      <c r="K8" s="2513"/>
      <c r="L8" s="2514"/>
    </row>
    <row r="10" spans="1:12" ht="12.6" customHeight="1" x14ac:dyDescent="0.25">
      <c r="C10" s="768" t="s">
        <v>493</v>
      </c>
      <c r="D10" s="768"/>
    </row>
    <row r="11" spans="1:12" ht="12.6" customHeight="1" x14ac:dyDescent="0.2">
      <c r="C11" s="2088" t="s">
        <v>703</v>
      </c>
      <c r="D11" s="2089"/>
      <c r="E11" s="2089"/>
      <c r="F11" s="2089"/>
      <c r="G11" s="2089"/>
      <c r="H11" s="2089"/>
      <c r="I11" s="2089"/>
      <c r="J11" s="2089"/>
      <c r="K11" s="2089"/>
      <c r="L11" s="2090"/>
    </row>
    <row r="12" spans="1:12" ht="12.6" customHeight="1" x14ac:dyDescent="0.2">
      <c r="C12" s="2091"/>
      <c r="D12" s="2092"/>
      <c r="E12" s="2092"/>
      <c r="F12" s="2092"/>
      <c r="G12" s="2092"/>
      <c r="H12" s="2092"/>
      <c r="I12" s="2092"/>
      <c r="J12" s="2092"/>
      <c r="K12" s="2092"/>
      <c r="L12" s="2093"/>
    </row>
    <row r="13" spans="1:12" ht="12.6" customHeight="1" x14ac:dyDescent="0.2">
      <c r="C13" s="2091"/>
      <c r="D13" s="2092"/>
      <c r="E13" s="2092"/>
      <c r="F13" s="2092"/>
      <c r="G13" s="2092"/>
      <c r="H13" s="2092"/>
      <c r="I13" s="2092"/>
      <c r="J13" s="2092"/>
      <c r="K13" s="2092"/>
      <c r="L13" s="2093"/>
    </row>
    <row r="14" spans="1:12" ht="12.6" customHeight="1" x14ac:dyDescent="0.2">
      <c r="C14" s="2091"/>
      <c r="D14" s="2092"/>
      <c r="E14" s="2092"/>
      <c r="F14" s="2092"/>
      <c r="G14" s="2092"/>
      <c r="H14" s="2092"/>
      <c r="I14" s="2092"/>
      <c r="J14" s="2092"/>
      <c r="K14" s="2092"/>
      <c r="L14" s="2093"/>
    </row>
    <row r="15" spans="1:12" ht="12.6" customHeight="1" x14ac:dyDescent="0.2">
      <c r="C15" s="2091"/>
      <c r="D15" s="2092"/>
      <c r="E15" s="2092"/>
      <c r="F15" s="2092"/>
      <c r="G15" s="2092"/>
      <c r="H15" s="2092"/>
      <c r="I15" s="2092"/>
      <c r="J15" s="2092"/>
      <c r="K15" s="2092"/>
      <c r="L15" s="2093"/>
    </row>
    <row r="16" spans="1:12" ht="6" customHeight="1" x14ac:dyDescent="0.2">
      <c r="C16" s="2094"/>
      <c r="D16" s="2095"/>
      <c r="E16" s="2095"/>
      <c r="F16" s="2095"/>
      <c r="G16" s="2095"/>
      <c r="H16" s="2095"/>
      <c r="I16" s="2095"/>
      <c r="J16" s="2095"/>
      <c r="K16" s="2095"/>
      <c r="L16" s="2096"/>
    </row>
    <row r="17" spans="3:12" ht="12.6" customHeight="1" x14ac:dyDescent="0.25">
      <c r="C17" s="769"/>
      <c r="D17" s="769"/>
      <c r="E17" s="769"/>
      <c r="F17" s="769"/>
      <c r="G17" s="769"/>
      <c r="H17" s="769"/>
      <c r="I17" s="769"/>
      <c r="J17" s="769"/>
      <c r="K17" s="769"/>
      <c r="L17" s="580"/>
    </row>
    <row r="18" spans="3:12" ht="12.6" customHeight="1" x14ac:dyDescent="0.25">
      <c r="C18" s="768" t="s">
        <v>137</v>
      </c>
      <c r="D18" s="768"/>
    </row>
    <row r="19" spans="3:12" ht="12.6" customHeight="1" x14ac:dyDescent="0.2">
      <c r="C19" s="2088" t="s">
        <v>944</v>
      </c>
      <c r="D19" s="2089"/>
      <c r="E19" s="2089"/>
      <c r="F19" s="2089"/>
      <c r="G19" s="2089"/>
      <c r="H19" s="2089"/>
      <c r="I19" s="2089"/>
      <c r="J19" s="2089"/>
      <c r="K19" s="2089"/>
      <c r="L19" s="2090"/>
    </row>
    <row r="20" spans="3:12" ht="12.6" customHeight="1" x14ac:dyDescent="0.2">
      <c r="C20" s="2091"/>
      <c r="D20" s="2092"/>
      <c r="E20" s="2092"/>
      <c r="F20" s="2092"/>
      <c r="G20" s="2092"/>
      <c r="H20" s="2092"/>
      <c r="I20" s="2092"/>
      <c r="J20" s="2092"/>
      <c r="K20" s="2092"/>
      <c r="L20" s="2093"/>
    </row>
    <row r="21" spans="3:12" ht="12.6" customHeight="1" x14ac:dyDescent="0.2">
      <c r="C21" s="2091"/>
      <c r="D21" s="2092"/>
      <c r="E21" s="2092"/>
      <c r="F21" s="2092"/>
      <c r="G21" s="2092"/>
      <c r="H21" s="2092"/>
      <c r="I21" s="2092"/>
      <c r="J21" s="2092"/>
      <c r="K21" s="2092"/>
      <c r="L21" s="2093"/>
    </row>
    <row r="22" spans="3:12" ht="12.6" customHeight="1" x14ac:dyDescent="0.2">
      <c r="C22" s="2091"/>
      <c r="D22" s="2092"/>
      <c r="E22" s="2092"/>
      <c r="F22" s="2092"/>
      <c r="G22" s="2092"/>
      <c r="H22" s="2092"/>
      <c r="I22" s="2092"/>
      <c r="J22" s="2092"/>
      <c r="K22" s="2092"/>
      <c r="L22" s="2093"/>
    </row>
    <row r="23" spans="3:12" ht="12.6" customHeight="1" x14ac:dyDescent="0.2">
      <c r="C23" s="2091"/>
      <c r="D23" s="2092"/>
      <c r="E23" s="2092"/>
      <c r="F23" s="2092"/>
      <c r="G23" s="2092"/>
      <c r="H23" s="2092"/>
      <c r="I23" s="2092"/>
      <c r="J23" s="2092"/>
      <c r="K23" s="2092"/>
      <c r="L23" s="2093"/>
    </row>
    <row r="24" spans="3:12" ht="6" customHeight="1" x14ac:dyDescent="0.2">
      <c r="C24" s="2094"/>
      <c r="D24" s="2095"/>
      <c r="E24" s="2095"/>
      <c r="F24" s="2095"/>
      <c r="G24" s="2095"/>
      <c r="H24" s="2095"/>
      <c r="I24" s="2095"/>
      <c r="J24" s="2095"/>
      <c r="K24" s="2095"/>
      <c r="L24" s="2096"/>
    </row>
    <row r="26" spans="3:12" ht="12.6" customHeight="1" x14ac:dyDescent="0.25">
      <c r="C26" s="768" t="s">
        <v>581</v>
      </c>
      <c r="D26" s="768"/>
      <c r="E26" s="768"/>
    </row>
    <row r="27" spans="3:12" ht="12.6" customHeight="1" x14ac:dyDescent="0.25">
      <c r="C27" s="768" t="s">
        <v>580</v>
      </c>
    </row>
    <row r="28" spans="3:12" ht="12.6" customHeight="1" x14ac:dyDescent="0.2">
      <c r="C28" s="2500" t="s">
        <v>945</v>
      </c>
      <c r="D28" s="2501"/>
      <c r="E28" s="2501"/>
      <c r="F28" s="2501"/>
      <c r="G28" s="2501"/>
      <c r="H28" s="2501"/>
      <c r="I28" s="2501"/>
      <c r="J28" s="2501"/>
      <c r="K28" s="2501"/>
      <c r="L28" s="2502"/>
    </row>
    <row r="29" spans="3:12" ht="12.6" customHeight="1" x14ac:dyDescent="0.2">
      <c r="C29" s="2503"/>
      <c r="D29" s="2504"/>
      <c r="E29" s="2504"/>
      <c r="F29" s="2504"/>
      <c r="G29" s="2504"/>
      <c r="H29" s="2504"/>
      <c r="I29" s="2504"/>
      <c r="J29" s="2504"/>
      <c r="K29" s="2504"/>
      <c r="L29" s="2505"/>
    </row>
    <row r="30" spans="3:12" ht="12.6" customHeight="1" x14ac:dyDescent="0.2">
      <c r="C30" s="2503"/>
      <c r="D30" s="2504"/>
      <c r="E30" s="2504"/>
      <c r="F30" s="2504"/>
      <c r="G30" s="2504"/>
      <c r="H30" s="2504"/>
      <c r="I30" s="2504"/>
      <c r="J30" s="2504"/>
      <c r="K30" s="2504"/>
      <c r="L30" s="2505"/>
    </row>
    <row r="31" spans="3:12" ht="12.6" customHeight="1" x14ac:dyDescent="0.2">
      <c r="C31" s="2503"/>
      <c r="D31" s="2504"/>
      <c r="E31" s="2504"/>
      <c r="F31" s="2504"/>
      <c r="G31" s="2504"/>
      <c r="H31" s="2504"/>
      <c r="I31" s="2504"/>
      <c r="J31" s="2504"/>
      <c r="K31" s="2504"/>
      <c r="L31" s="2505"/>
    </row>
    <row r="32" spans="3:12" ht="12.6" customHeight="1" x14ac:dyDescent="0.2">
      <c r="C32" s="2503"/>
      <c r="D32" s="2504"/>
      <c r="E32" s="2504"/>
      <c r="F32" s="2504"/>
      <c r="G32" s="2504"/>
      <c r="H32" s="2504"/>
      <c r="I32" s="2504"/>
      <c r="J32" s="2504"/>
      <c r="K32" s="2504"/>
      <c r="L32" s="2505"/>
    </row>
    <row r="33" spans="3:12" ht="50.45" customHeight="1" x14ac:dyDescent="0.2">
      <c r="C33" s="2506"/>
      <c r="D33" s="2507"/>
      <c r="E33" s="2507"/>
      <c r="F33" s="2507"/>
      <c r="G33" s="2507"/>
      <c r="H33" s="2507"/>
      <c r="I33" s="2507"/>
      <c r="J33" s="2507"/>
      <c r="K33" s="2507"/>
      <c r="L33" s="2508"/>
    </row>
    <row r="34" spans="3:12" ht="12.6" customHeight="1" x14ac:dyDescent="0.25">
      <c r="C34" s="768" t="s">
        <v>578</v>
      </c>
    </row>
    <row r="35" spans="3:12" ht="12.6" customHeight="1" x14ac:dyDescent="0.2">
      <c r="C35" s="2500" t="s">
        <v>946</v>
      </c>
      <c r="D35" s="2501"/>
      <c r="E35" s="2501"/>
      <c r="F35" s="2501"/>
      <c r="G35" s="2501"/>
      <c r="H35" s="2501"/>
      <c r="I35" s="2501"/>
      <c r="J35" s="2501"/>
      <c r="K35" s="2501"/>
      <c r="L35" s="2502"/>
    </row>
    <row r="36" spans="3:12" ht="12.6" customHeight="1" x14ac:dyDescent="0.2">
      <c r="C36" s="2503"/>
      <c r="D36" s="2504"/>
      <c r="E36" s="2504"/>
      <c r="F36" s="2504"/>
      <c r="G36" s="2504"/>
      <c r="H36" s="2504"/>
      <c r="I36" s="2504"/>
      <c r="J36" s="2504"/>
      <c r="K36" s="2504"/>
      <c r="L36" s="2505"/>
    </row>
    <row r="37" spans="3:12" ht="12.6" customHeight="1" x14ac:dyDescent="0.2">
      <c r="C37" s="2503"/>
      <c r="D37" s="2504"/>
      <c r="E37" s="2504"/>
      <c r="F37" s="2504"/>
      <c r="G37" s="2504"/>
      <c r="H37" s="2504"/>
      <c r="I37" s="2504"/>
      <c r="J37" s="2504"/>
      <c r="K37" s="2504"/>
      <c r="L37" s="2505"/>
    </row>
    <row r="38" spans="3:12" ht="12.6" customHeight="1" x14ac:dyDescent="0.2">
      <c r="C38" s="2503"/>
      <c r="D38" s="2504"/>
      <c r="E38" s="2504"/>
      <c r="F38" s="2504"/>
      <c r="G38" s="2504"/>
      <c r="H38" s="2504"/>
      <c r="I38" s="2504"/>
      <c r="J38" s="2504"/>
      <c r="K38" s="2504"/>
      <c r="L38" s="2505"/>
    </row>
    <row r="39" spans="3:12" ht="12.6" customHeight="1" x14ac:dyDescent="0.2">
      <c r="C39" s="2503"/>
      <c r="D39" s="2504"/>
      <c r="E39" s="2504"/>
      <c r="F39" s="2504"/>
      <c r="G39" s="2504"/>
      <c r="H39" s="2504"/>
      <c r="I39" s="2504"/>
      <c r="J39" s="2504"/>
      <c r="K39" s="2504"/>
      <c r="L39" s="2505"/>
    </row>
    <row r="40" spans="3:12" ht="110.45" customHeight="1" x14ac:dyDescent="0.2">
      <c r="C40" s="2506"/>
      <c r="D40" s="2507"/>
      <c r="E40" s="2507"/>
      <c r="F40" s="2507"/>
      <c r="G40" s="2507"/>
      <c r="H40" s="2507"/>
      <c r="I40" s="2507"/>
      <c r="J40" s="2507"/>
      <c r="K40" s="2507"/>
      <c r="L40" s="2508"/>
    </row>
    <row r="41" spans="3:12" ht="12.6" customHeight="1" x14ac:dyDescent="0.25">
      <c r="C41" s="768" t="s">
        <v>576</v>
      </c>
    </row>
    <row r="42" spans="3:12" ht="12.6" customHeight="1" x14ac:dyDescent="0.2">
      <c r="C42" s="2500" t="s">
        <v>947</v>
      </c>
      <c r="D42" s="2501"/>
      <c r="E42" s="2501"/>
      <c r="F42" s="2501"/>
      <c r="G42" s="2501"/>
      <c r="H42" s="2501"/>
      <c r="I42" s="2501"/>
      <c r="J42" s="2501"/>
      <c r="K42" s="2501"/>
      <c r="L42" s="2502"/>
    </row>
    <row r="43" spans="3:12" ht="12.6" customHeight="1" x14ac:dyDescent="0.2">
      <c r="C43" s="2503"/>
      <c r="D43" s="2504"/>
      <c r="E43" s="2504"/>
      <c r="F43" s="2504"/>
      <c r="G43" s="2504"/>
      <c r="H43" s="2504"/>
      <c r="I43" s="2504"/>
      <c r="J43" s="2504"/>
      <c r="K43" s="2504"/>
      <c r="L43" s="2505"/>
    </row>
    <row r="44" spans="3:12" ht="12.6" customHeight="1" x14ac:dyDescent="0.2">
      <c r="C44" s="2503"/>
      <c r="D44" s="2504"/>
      <c r="E44" s="2504"/>
      <c r="F44" s="2504"/>
      <c r="G44" s="2504"/>
      <c r="H44" s="2504"/>
      <c r="I44" s="2504"/>
      <c r="J44" s="2504"/>
      <c r="K44" s="2504"/>
      <c r="L44" s="2505"/>
    </row>
    <row r="45" spans="3:12" ht="12.6" customHeight="1" x14ac:dyDescent="0.2">
      <c r="C45" s="2503"/>
      <c r="D45" s="2504"/>
      <c r="E45" s="2504"/>
      <c r="F45" s="2504"/>
      <c r="G45" s="2504"/>
      <c r="H45" s="2504"/>
      <c r="I45" s="2504"/>
      <c r="J45" s="2504"/>
      <c r="K45" s="2504"/>
      <c r="L45" s="2505"/>
    </row>
    <row r="46" spans="3:12" ht="12.6" customHeight="1" x14ac:dyDescent="0.2">
      <c r="C46" s="2503"/>
      <c r="D46" s="2504"/>
      <c r="E46" s="2504"/>
      <c r="F46" s="2504"/>
      <c r="G46" s="2504"/>
      <c r="H46" s="2504"/>
      <c r="I46" s="2504"/>
      <c r="J46" s="2504"/>
      <c r="K46" s="2504"/>
      <c r="L46" s="2505"/>
    </row>
    <row r="47" spans="3:12" ht="93" customHeight="1" x14ac:dyDescent="0.2">
      <c r="C47" s="2506"/>
      <c r="D47" s="2507"/>
      <c r="E47" s="2507"/>
      <c r="F47" s="2507"/>
      <c r="G47" s="2507"/>
      <c r="H47" s="2507"/>
      <c r="I47" s="2507"/>
      <c r="J47" s="2507"/>
      <c r="K47" s="2507"/>
      <c r="L47" s="2508"/>
    </row>
    <row r="48" spans="3:12" ht="12.6" customHeight="1" x14ac:dyDescent="0.25">
      <c r="C48" s="768" t="s">
        <v>574</v>
      </c>
    </row>
    <row r="49" spans="1:12" ht="12.6" customHeight="1" x14ac:dyDescent="0.2">
      <c r="C49" s="2500" t="s">
        <v>948</v>
      </c>
      <c r="D49" s="2501"/>
      <c r="E49" s="2501"/>
      <c r="F49" s="2501"/>
      <c r="G49" s="2501"/>
      <c r="H49" s="2501"/>
      <c r="I49" s="2501"/>
      <c r="J49" s="2501"/>
      <c r="K49" s="2501"/>
      <c r="L49" s="2502"/>
    </row>
    <row r="50" spans="1:12" ht="12.6" customHeight="1" x14ac:dyDescent="0.2">
      <c r="C50" s="2503"/>
      <c r="D50" s="2504"/>
      <c r="E50" s="2504"/>
      <c r="F50" s="2504"/>
      <c r="G50" s="2504"/>
      <c r="H50" s="2504"/>
      <c r="I50" s="2504"/>
      <c r="J50" s="2504"/>
      <c r="K50" s="2504"/>
      <c r="L50" s="2505"/>
    </row>
    <row r="51" spans="1:12" ht="12.6" customHeight="1" x14ac:dyDescent="0.2">
      <c r="C51" s="2503"/>
      <c r="D51" s="2504"/>
      <c r="E51" s="2504"/>
      <c r="F51" s="2504"/>
      <c r="G51" s="2504"/>
      <c r="H51" s="2504"/>
      <c r="I51" s="2504"/>
      <c r="J51" s="2504"/>
      <c r="K51" s="2504"/>
      <c r="L51" s="2505"/>
    </row>
    <row r="52" spans="1:12" ht="12.6" customHeight="1" x14ac:dyDescent="0.2">
      <c r="C52" s="2503"/>
      <c r="D52" s="2504"/>
      <c r="E52" s="2504"/>
      <c r="F52" s="2504"/>
      <c r="G52" s="2504"/>
      <c r="H52" s="2504"/>
      <c r="I52" s="2504"/>
      <c r="J52" s="2504"/>
      <c r="K52" s="2504"/>
      <c r="L52" s="2505"/>
    </row>
    <row r="53" spans="1:12" ht="12.6" customHeight="1" x14ac:dyDescent="0.2">
      <c r="C53" s="2503"/>
      <c r="D53" s="2504"/>
      <c r="E53" s="2504"/>
      <c r="F53" s="2504"/>
      <c r="G53" s="2504"/>
      <c r="H53" s="2504"/>
      <c r="I53" s="2504"/>
      <c r="J53" s="2504"/>
      <c r="K53" s="2504"/>
      <c r="L53" s="2505"/>
    </row>
    <row r="54" spans="1:12" ht="71.45" customHeight="1" x14ac:dyDescent="0.2">
      <c r="C54" s="2506"/>
      <c r="D54" s="2507"/>
      <c r="E54" s="2507"/>
      <c r="F54" s="2507"/>
      <c r="G54" s="2507"/>
      <c r="H54" s="2507"/>
      <c r="I54" s="2507"/>
      <c r="J54" s="2507"/>
      <c r="K54" s="2507"/>
      <c r="L54" s="2508"/>
    </row>
    <row r="55" spans="1:12" ht="12.6" customHeight="1" x14ac:dyDescent="0.25">
      <c r="C55" s="768" t="s">
        <v>572</v>
      </c>
      <c r="D55" s="768"/>
      <c r="E55" s="768"/>
    </row>
    <row r="56" spans="1:12" ht="12.6" customHeight="1" x14ac:dyDescent="0.2">
      <c r="C56" s="2088" t="s">
        <v>949</v>
      </c>
      <c r="D56" s="2089"/>
      <c r="E56" s="2089"/>
      <c r="F56" s="2089"/>
      <c r="G56" s="2089"/>
      <c r="H56" s="2089"/>
      <c r="I56" s="2089"/>
      <c r="J56" s="2089"/>
      <c r="K56" s="2089"/>
      <c r="L56" s="2090"/>
    </row>
    <row r="57" spans="1:12" ht="12.6" customHeight="1" x14ac:dyDescent="0.2">
      <c r="C57" s="2091"/>
      <c r="D57" s="2092"/>
      <c r="E57" s="2092"/>
      <c r="F57" s="2092"/>
      <c r="G57" s="2092"/>
      <c r="H57" s="2092"/>
      <c r="I57" s="2092"/>
      <c r="J57" s="2092"/>
      <c r="K57" s="2092"/>
      <c r="L57" s="2093"/>
    </row>
    <row r="58" spans="1:12" ht="12.6" customHeight="1" x14ac:dyDescent="0.2">
      <c r="C58" s="2091"/>
      <c r="D58" s="2092"/>
      <c r="E58" s="2092"/>
      <c r="F58" s="2092"/>
      <c r="G58" s="2092"/>
      <c r="H58" s="2092"/>
      <c r="I58" s="2092"/>
      <c r="J58" s="2092"/>
      <c r="K58" s="2092"/>
      <c r="L58" s="2093"/>
    </row>
    <row r="59" spans="1:12" ht="12.6" customHeight="1" x14ac:dyDescent="0.2">
      <c r="C59" s="2091"/>
      <c r="D59" s="2092"/>
      <c r="E59" s="2092"/>
      <c r="F59" s="2092"/>
      <c r="G59" s="2092"/>
      <c r="H59" s="2092"/>
      <c r="I59" s="2092"/>
      <c r="J59" s="2092"/>
      <c r="K59" s="2092"/>
      <c r="L59" s="2093"/>
    </row>
    <row r="60" spans="1:12" ht="12.6" customHeight="1" x14ac:dyDescent="0.2">
      <c r="C60" s="2091"/>
      <c r="D60" s="2092"/>
      <c r="E60" s="2092"/>
      <c r="F60" s="2092"/>
      <c r="G60" s="2092"/>
      <c r="H60" s="2092"/>
      <c r="I60" s="2092"/>
      <c r="J60" s="2092"/>
      <c r="K60" s="2092"/>
      <c r="L60" s="2093"/>
    </row>
    <row r="61" spans="1:12" ht="85.15" customHeight="1" x14ac:dyDescent="0.2">
      <c r="C61" s="2094"/>
      <c r="D61" s="2095"/>
      <c r="E61" s="2095"/>
      <c r="F61" s="2095"/>
      <c r="G61" s="2095"/>
      <c r="H61" s="2095"/>
      <c r="I61" s="2095"/>
      <c r="J61" s="2095"/>
      <c r="K61" s="2095"/>
      <c r="L61" s="2096"/>
    </row>
    <row r="64" spans="1:12" ht="12.6" customHeight="1" x14ac:dyDescent="0.25">
      <c r="A64" s="2316" t="s">
        <v>487</v>
      </c>
      <c r="B64" s="601" t="s">
        <v>80</v>
      </c>
      <c r="C64" s="764"/>
      <c r="D64" s="766"/>
      <c r="E64" s="2509" t="s">
        <v>488</v>
      </c>
      <c r="F64" s="760" t="s">
        <v>80</v>
      </c>
      <c r="G64" s="764"/>
      <c r="H64" s="766"/>
      <c r="I64" s="767"/>
      <c r="J64" s="760" t="s">
        <v>80</v>
      </c>
      <c r="K64" s="764"/>
      <c r="L64" s="763"/>
    </row>
    <row r="65" spans="1:12" ht="12.6" customHeight="1" x14ac:dyDescent="0.25">
      <c r="A65" s="2317"/>
      <c r="B65" s="601" t="s">
        <v>490</v>
      </c>
      <c r="C65" s="764"/>
      <c r="D65" s="766"/>
      <c r="E65" s="2510"/>
      <c r="F65" s="760" t="s">
        <v>490</v>
      </c>
      <c r="G65" s="764"/>
      <c r="H65" s="766"/>
      <c r="I65" s="765" t="s">
        <v>489</v>
      </c>
      <c r="J65" s="760" t="s">
        <v>490</v>
      </c>
      <c r="K65" s="764"/>
      <c r="L65" s="763"/>
    </row>
    <row r="66" spans="1:12" ht="12.6" customHeight="1" x14ac:dyDescent="0.25">
      <c r="A66" s="2318"/>
      <c r="B66" s="601" t="s">
        <v>82</v>
      </c>
      <c r="C66" s="759"/>
      <c r="D66" s="762"/>
      <c r="E66" s="2511"/>
      <c r="F66" s="760" t="s">
        <v>82</v>
      </c>
      <c r="G66" s="759"/>
      <c r="H66" s="762"/>
      <c r="I66" s="761"/>
      <c r="J66" s="760" t="s">
        <v>82</v>
      </c>
      <c r="K66" s="759"/>
      <c r="L66" s="758"/>
    </row>
  </sheetData>
  <mergeCells count="10">
    <mergeCell ref="C49:L54"/>
    <mergeCell ref="C56:L61"/>
    <mergeCell ref="A64:A66"/>
    <mergeCell ref="E64:E66"/>
    <mergeCell ref="E8:L8"/>
    <mergeCell ref="C11:L16"/>
    <mergeCell ref="C19:L24"/>
    <mergeCell ref="C28:L33"/>
    <mergeCell ref="C35:L40"/>
    <mergeCell ref="C42:L47"/>
  </mergeCells>
  <pageMargins left="0.23622047244094491" right="0.23622047244094491" top="0.47244094488188981" bottom="0.47244094488188981" header="0.51181102362204722" footer="0.51181102362204722"/>
  <pageSetup paperSize="9" scale="90" orientation="portrait" horizontalDpi="4294967295" verticalDpi="4294967295" r:id="rId1"/>
  <rowBreaks count="1" manualBreakCount="1">
    <brk id="47"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62"/>
  <sheetViews>
    <sheetView topLeftCell="C31" zoomScale="107" zoomScaleNormal="107" workbookViewId="0">
      <selection activeCell="E44" sqref="E44"/>
    </sheetView>
  </sheetViews>
  <sheetFormatPr defaultColWidth="8.85546875" defaultRowHeight="13.15" customHeight="1" x14ac:dyDescent="0.2"/>
  <cols>
    <col min="1" max="1" width="7" style="774" customWidth="1"/>
    <col min="2" max="2" width="6" style="774" customWidth="1"/>
    <col min="3" max="3" width="46" style="774" customWidth="1"/>
    <col min="4" max="4" width="17.42578125" style="774" customWidth="1"/>
    <col min="5" max="5" width="14.85546875" style="774" customWidth="1"/>
    <col min="6" max="6" width="18.28515625" style="774" customWidth="1"/>
    <col min="7" max="7" width="22.7109375" style="774" customWidth="1"/>
    <col min="8" max="8" width="11.140625" style="774" customWidth="1"/>
    <col min="9" max="9" width="14.85546875" style="774" customWidth="1"/>
    <col min="10" max="10" width="11.140625" style="774" customWidth="1"/>
    <col min="11" max="11" width="11" style="774" customWidth="1"/>
    <col min="12" max="12" width="11" style="774" bestFit="1" customWidth="1"/>
    <col min="13" max="16384" width="8.85546875" style="774"/>
  </cols>
  <sheetData>
    <row r="2" spans="2:9" ht="13.15" customHeight="1" x14ac:dyDescent="0.2">
      <c r="C2" s="2515" t="s">
        <v>128</v>
      </c>
      <c r="D2" s="2515"/>
      <c r="E2" s="2515"/>
      <c r="F2" s="2515"/>
      <c r="G2" s="2515"/>
      <c r="H2" s="1149"/>
      <c r="I2" s="929"/>
    </row>
    <row r="3" spans="2:9" ht="13.15" customHeight="1" x14ac:dyDescent="0.2">
      <c r="B3" s="1149"/>
      <c r="C3" s="2516" t="s">
        <v>127</v>
      </c>
      <c r="D3" s="2516"/>
      <c r="E3" s="2516"/>
      <c r="F3" s="2516"/>
      <c r="G3" s="2516"/>
      <c r="H3" s="1150"/>
      <c r="I3" s="1149"/>
    </row>
    <row r="4" spans="2:9" ht="13.15" customHeight="1" thickBot="1" x14ac:dyDescent="0.25"/>
    <row r="5" spans="2:9" ht="13.15" customHeight="1" thickBot="1" x14ac:dyDescent="0.25">
      <c r="C5" s="926" t="s">
        <v>20</v>
      </c>
      <c r="D5" s="2517" t="s">
        <v>778</v>
      </c>
      <c r="E5" s="2517"/>
      <c r="F5" s="2517"/>
      <c r="G5" s="2517"/>
      <c r="H5" s="928"/>
    </row>
    <row r="6" spans="2:9" ht="13.15" customHeight="1" thickBot="1" x14ac:dyDescent="0.25">
      <c r="C6" s="926" t="s">
        <v>4</v>
      </c>
      <c r="D6" s="2518" t="s">
        <v>367</v>
      </c>
      <c r="E6" s="2519"/>
      <c r="F6" s="2519"/>
      <c r="G6" s="2520"/>
      <c r="H6" s="927"/>
    </row>
    <row r="7" spans="2:9" ht="13.15" customHeight="1" thickBot="1" x14ac:dyDescent="0.25">
      <c r="C7" s="926" t="s">
        <v>35</v>
      </c>
      <c r="D7" s="2521" t="s">
        <v>5</v>
      </c>
      <c r="E7" s="2522"/>
      <c r="F7" s="2522"/>
      <c r="G7" s="2523"/>
      <c r="H7" s="826"/>
    </row>
    <row r="8" spans="2:9" ht="13.15" customHeight="1" thickBot="1" x14ac:dyDescent="0.25">
      <c r="C8" s="2524" t="s">
        <v>8</v>
      </c>
      <c r="D8" s="2525"/>
      <c r="E8" s="2525"/>
      <c r="F8" s="2525"/>
      <c r="G8" s="2526"/>
      <c r="H8" s="925"/>
    </row>
    <row r="9" spans="2:9" ht="13.15" customHeight="1" thickBot="1" x14ac:dyDescent="0.25">
      <c r="C9" s="2538" t="s">
        <v>555</v>
      </c>
      <c r="D9" s="2539"/>
      <c r="E9" s="2539"/>
      <c r="F9" s="2539"/>
      <c r="G9" s="2540"/>
      <c r="H9" s="924"/>
    </row>
    <row r="10" spans="2:9" ht="15" customHeight="1" thickBot="1" x14ac:dyDescent="0.25">
      <c r="C10" s="2538"/>
      <c r="D10" s="2539"/>
      <c r="E10" s="2539"/>
      <c r="F10" s="2539"/>
      <c r="G10" s="2540"/>
      <c r="H10" s="924"/>
    </row>
    <row r="11" spans="2:9" ht="63.6" customHeight="1" thickBot="1" x14ac:dyDescent="0.25">
      <c r="C11" s="923" t="s">
        <v>11</v>
      </c>
      <c r="D11" s="2539" t="s">
        <v>1043</v>
      </c>
      <c r="E11" s="2541"/>
      <c r="F11" s="2541"/>
      <c r="G11" s="2542"/>
      <c r="H11" s="922"/>
    </row>
    <row r="12" spans="2:9" ht="13.15" customHeight="1" x14ac:dyDescent="0.2">
      <c r="C12" s="2536" t="s">
        <v>119</v>
      </c>
      <c r="D12" s="921">
        <v>2018</v>
      </c>
      <c r="E12" s="921">
        <v>2019</v>
      </c>
      <c r="F12" s="921">
        <v>2020</v>
      </c>
      <c r="G12" s="921">
        <v>2021</v>
      </c>
      <c r="H12" s="857"/>
    </row>
    <row r="13" spans="2:9" ht="8.4499999999999993" customHeight="1" thickBot="1" x14ac:dyDescent="0.25">
      <c r="C13" s="2537"/>
      <c r="D13" s="920" t="s">
        <v>6</v>
      </c>
      <c r="E13" s="920" t="s">
        <v>7</v>
      </c>
      <c r="F13" s="920" t="s">
        <v>7</v>
      </c>
      <c r="G13" s="920" t="s">
        <v>7</v>
      </c>
      <c r="H13" s="857"/>
    </row>
    <row r="14" spans="2:9" ht="18.600000000000001" customHeight="1" thickBot="1" x14ac:dyDescent="0.25">
      <c r="C14" s="1477" t="s">
        <v>777</v>
      </c>
      <c r="D14" s="1478">
        <v>120062</v>
      </c>
      <c r="E14" s="1478">
        <v>122000</v>
      </c>
      <c r="F14" s="1478">
        <v>123500</v>
      </c>
      <c r="G14" s="1478">
        <v>125000</v>
      </c>
      <c r="H14" s="919"/>
    </row>
    <row r="15" spans="2:9" ht="21" customHeight="1" thickBot="1" x14ac:dyDescent="0.25">
      <c r="C15" s="1479" t="s">
        <v>776</v>
      </c>
      <c r="D15" s="1480">
        <v>0.95599999999999996</v>
      </c>
      <c r="E15" s="1480">
        <v>0.95899999999999996</v>
      </c>
      <c r="F15" s="1480">
        <v>0.96499999999999997</v>
      </c>
      <c r="G15" s="1481">
        <v>0.98</v>
      </c>
      <c r="H15" s="891"/>
    </row>
    <row r="16" spans="2:9" ht="27" customHeight="1" thickBot="1" x14ac:dyDescent="0.25">
      <c r="C16" s="1479" t="s">
        <v>775</v>
      </c>
      <c r="D16" s="1482">
        <v>6300</v>
      </c>
      <c r="E16" s="1482">
        <v>6300</v>
      </c>
      <c r="F16" s="1482">
        <v>6300</v>
      </c>
      <c r="G16" s="1482">
        <v>6300</v>
      </c>
      <c r="H16" s="866"/>
    </row>
    <row r="17" spans="3:13" s="869" customFormat="1" ht="33" customHeight="1" thickBot="1" x14ac:dyDescent="0.25">
      <c r="C17" s="860" t="s">
        <v>12</v>
      </c>
      <c r="D17" s="2530" t="s">
        <v>774</v>
      </c>
      <c r="E17" s="2531"/>
      <c r="F17" s="2531"/>
      <c r="G17" s="2532"/>
      <c r="H17" s="848"/>
    </row>
    <row r="18" spans="3:13" ht="13.15" customHeight="1" thickBot="1" x14ac:dyDescent="0.25">
      <c r="C18" s="2543" t="s">
        <v>120</v>
      </c>
      <c r="D18" s="2544"/>
      <c r="E18" s="2544"/>
      <c r="F18" s="2544"/>
      <c r="G18" s="2545"/>
      <c r="H18" s="857"/>
      <c r="K18" s="856"/>
      <c r="M18" s="856"/>
    </row>
    <row r="19" spans="3:13" ht="13.15" customHeight="1" x14ac:dyDescent="0.2">
      <c r="C19" s="1483"/>
      <c r="D19" s="1483">
        <v>2018</v>
      </c>
      <c r="E19" s="1483">
        <v>2019</v>
      </c>
      <c r="F19" s="1483">
        <v>2020</v>
      </c>
      <c r="G19" s="1483">
        <v>2021</v>
      </c>
      <c r="H19" s="857"/>
      <c r="K19" s="856"/>
      <c r="M19" s="856"/>
    </row>
    <row r="20" spans="3:13" ht="16.899999999999999" customHeight="1" thickBot="1" x14ac:dyDescent="0.25">
      <c r="C20" s="1477" t="s">
        <v>773</v>
      </c>
      <c r="D20" s="1484">
        <v>0.95799999999999996</v>
      </c>
      <c r="E20" s="1484">
        <v>0.96</v>
      </c>
      <c r="F20" s="1484">
        <v>0.97</v>
      </c>
      <c r="G20" s="1484">
        <v>0.98</v>
      </c>
      <c r="H20" s="879"/>
    </row>
    <row r="21" spans="3:13" ht="14.45" customHeight="1" thickBot="1" x14ac:dyDescent="0.25">
      <c r="C21" s="1479" t="s">
        <v>772</v>
      </c>
      <c r="D21" s="1485">
        <v>120062</v>
      </c>
      <c r="E21" s="1485">
        <v>122000</v>
      </c>
      <c r="F21" s="1485">
        <v>123500</v>
      </c>
      <c r="G21" s="1485">
        <v>125000</v>
      </c>
      <c r="H21" s="918"/>
    </row>
    <row r="22" spans="3:13" ht="18.600000000000001" customHeight="1" thickBot="1" x14ac:dyDescent="0.25">
      <c r="C22" s="1479" t="s">
        <v>771</v>
      </c>
      <c r="D22" s="1484">
        <v>0.82799999999999996</v>
      </c>
      <c r="E22" s="1484">
        <v>0.75</v>
      </c>
      <c r="F22" s="1484">
        <v>0.7</v>
      </c>
      <c r="G22" s="1484">
        <v>0.65</v>
      </c>
      <c r="H22" s="879"/>
    </row>
    <row r="23" spans="3:13" ht="18.600000000000001" customHeight="1" thickBot="1" x14ac:dyDescent="0.25">
      <c r="C23" s="1489" t="s">
        <v>1044</v>
      </c>
      <c r="D23" s="1490">
        <f>D24/D25</f>
        <v>15.786825396825396</v>
      </c>
      <c r="E23" s="1490">
        <f t="shared" ref="E23:G23" si="0">E24/E25</f>
        <v>14.523809523809524</v>
      </c>
      <c r="F23" s="1490">
        <f t="shared" si="0"/>
        <v>13.722222222222221</v>
      </c>
      <c r="G23" s="1490">
        <f t="shared" si="0"/>
        <v>12.896825396825397</v>
      </c>
      <c r="H23" s="879"/>
    </row>
    <row r="24" spans="3:13" ht="14.45" customHeight="1" thickBot="1" x14ac:dyDescent="0.25">
      <c r="C24" s="1479" t="s">
        <v>770</v>
      </c>
      <c r="D24" s="1485">
        <v>99457</v>
      </c>
      <c r="E24" s="1485">
        <f>E21*E22</f>
        <v>91500</v>
      </c>
      <c r="F24" s="1485">
        <f>F21*F22</f>
        <v>86450</v>
      </c>
      <c r="G24" s="1485">
        <f>G21*G22</f>
        <v>81250</v>
      </c>
      <c r="H24" s="918"/>
    </row>
    <row r="25" spans="3:13" ht="14.45" customHeight="1" thickBot="1" x14ac:dyDescent="0.25">
      <c r="C25" s="1489" t="s">
        <v>775</v>
      </c>
      <c r="D25" s="1492">
        <v>6300</v>
      </c>
      <c r="E25" s="1492">
        <v>6300</v>
      </c>
      <c r="F25" s="1492">
        <v>6300</v>
      </c>
      <c r="G25" s="1492">
        <v>6300</v>
      </c>
      <c r="H25" s="918"/>
    </row>
    <row r="26" spans="3:13" ht="26.25" customHeight="1" thickBot="1" x14ac:dyDescent="0.25">
      <c r="C26" s="1479" t="s">
        <v>769</v>
      </c>
      <c r="D26" s="1484">
        <v>0.17199999999999999</v>
      </c>
      <c r="E26" s="1484">
        <v>0.22</v>
      </c>
      <c r="F26" s="1484">
        <v>0.3</v>
      </c>
      <c r="G26" s="1484">
        <v>0.35</v>
      </c>
      <c r="H26" s="879"/>
    </row>
    <row r="27" spans="3:13" ht="17.45" customHeight="1" thickBot="1" x14ac:dyDescent="0.25">
      <c r="C27" s="1479" t="s">
        <v>768</v>
      </c>
      <c r="D27" s="895">
        <v>20605</v>
      </c>
      <c r="E27" s="895">
        <f>E21-E24</f>
        <v>30500</v>
      </c>
      <c r="F27" s="895">
        <f>F21-F24</f>
        <v>37050</v>
      </c>
      <c r="G27" s="895">
        <f>G21-G24</f>
        <v>43750</v>
      </c>
      <c r="H27" s="898"/>
    </row>
    <row r="28" spans="3:13" ht="13.15" customHeight="1" thickBot="1" x14ac:dyDescent="0.25">
      <c r="C28" s="2527" t="s">
        <v>66</v>
      </c>
      <c r="D28" s="2528"/>
      <c r="E28" s="2528"/>
      <c r="F28" s="2528"/>
      <c r="G28" s="2529"/>
      <c r="H28" s="851"/>
    </row>
    <row r="29" spans="3:13" ht="13.15" customHeight="1" thickBot="1" x14ac:dyDescent="0.25">
      <c r="C29" s="2527" t="s">
        <v>121</v>
      </c>
      <c r="D29" s="2528"/>
      <c r="E29" s="2528"/>
      <c r="F29" s="2528"/>
      <c r="G29" s="2529"/>
      <c r="H29" s="851"/>
    </row>
    <row r="30" spans="3:13" ht="16.899999999999999" customHeight="1" thickBot="1" x14ac:dyDescent="0.25">
      <c r="C30" s="850" t="s">
        <v>680</v>
      </c>
      <c r="D30" s="2530" t="s">
        <v>767</v>
      </c>
      <c r="E30" s="2531"/>
      <c r="F30" s="2531"/>
      <c r="G30" s="2532"/>
      <c r="H30" s="848"/>
    </row>
    <row r="31" spans="3:13" ht="19.149999999999999" customHeight="1" thickBot="1" x14ac:dyDescent="0.25">
      <c r="C31" s="838" t="s">
        <v>10</v>
      </c>
      <c r="D31" s="2530" t="s">
        <v>767</v>
      </c>
      <c r="E31" s="2531"/>
      <c r="F31" s="2531"/>
      <c r="G31" s="2532"/>
      <c r="H31" s="848"/>
    </row>
    <row r="32" spans="3:13" ht="13.15" customHeight="1" thickBot="1" x14ac:dyDescent="0.25">
      <c r="C32" s="838" t="s">
        <v>13</v>
      </c>
      <c r="D32" s="2533" t="s">
        <v>766</v>
      </c>
      <c r="E32" s="2534"/>
      <c r="F32" s="2534"/>
      <c r="G32" s="2535"/>
      <c r="H32" s="847"/>
    </row>
    <row r="33" spans="3:14" ht="13.15" customHeight="1" x14ac:dyDescent="0.2">
      <c r="C33" s="2536"/>
      <c r="D33" s="828">
        <v>2018</v>
      </c>
      <c r="E33" s="828">
        <v>2019</v>
      </c>
      <c r="F33" s="828">
        <v>2020</v>
      </c>
      <c r="G33" s="828">
        <v>2021</v>
      </c>
      <c r="H33" s="826"/>
    </row>
    <row r="34" spans="3:14" ht="13.15" customHeight="1" thickBot="1" x14ac:dyDescent="0.25">
      <c r="C34" s="2537"/>
      <c r="D34" s="828" t="s">
        <v>6</v>
      </c>
      <c r="E34" s="828" t="s">
        <v>7</v>
      </c>
      <c r="F34" s="828" t="s">
        <v>7</v>
      </c>
      <c r="G34" s="828" t="s">
        <v>7</v>
      </c>
      <c r="H34" s="826"/>
    </row>
    <row r="35" spans="3:14" ht="13.15" customHeight="1" thickBot="1" x14ac:dyDescent="0.25">
      <c r="C35" s="906" t="s">
        <v>9</v>
      </c>
      <c r="D35" s="917">
        <v>99457</v>
      </c>
      <c r="E35" s="916">
        <v>91500</v>
      </c>
      <c r="F35" s="916">
        <v>86450</v>
      </c>
      <c r="G35" s="915">
        <v>81250</v>
      </c>
      <c r="H35" s="914"/>
    </row>
    <row r="36" spans="3:14" ht="13.15" customHeight="1" thickBot="1" x14ac:dyDescent="0.25">
      <c r="C36" s="838" t="s">
        <v>14</v>
      </c>
      <c r="D36" s="913">
        <f>5905389-52000</f>
        <v>5853389</v>
      </c>
      <c r="E36" s="913">
        <v>6544063.5040000007</v>
      </c>
      <c r="F36" s="913">
        <v>7216259.6044000005</v>
      </c>
      <c r="G36" s="913">
        <v>8198932.2190159997</v>
      </c>
      <c r="H36" s="912"/>
    </row>
    <row r="37" spans="3:14" ht="13.15" customHeight="1" thickBot="1" x14ac:dyDescent="0.25">
      <c r="C37" s="906" t="s">
        <v>23</v>
      </c>
      <c r="D37" s="911">
        <f>D36/D35</f>
        <v>58.853464311209869</v>
      </c>
      <c r="E37" s="910">
        <f>E36/E35</f>
        <v>71.519819715847007</v>
      </c>
      <c r="F37" s="910">
        <f>F36/F35</f>
        <v>83.473216939271268</v>
      </c>
      <c r="G37" s="909">
        <f>F37+F37*2%</f>
        <v>85.142681278056699</v>
      </c>
      <c r="H37" s="840"/>
    </row>
    <row r="38" spans="3:14" ht="13.15" customHeight="1" thickBot="1" x14ac:dyDescent="0.25">
      <c r="C38" s="906" t="s">
        <v>15</v>
      </c>
      <c r="D38" s="908"/>
      <c r="E38" s="836">
        <f t="shared" ref="E38:G40" si="1">E35/D35-1</f>
        <v>-8.00044240224419E-2</v>
      </c>
      <c r="F38" s="836">
        <f t="shared" si="1"/>
        <v>-5.519125683060111E-2</v>
      </c>
      <c r="G38" s="907">
        <f t="shared" si="1"/>
        <v>-6.0150375939849621E-2</v>
      </c>
      <c r="H38" s="835"/>
      <c r="J38" s="839"/>
      <c r="K38" s="839"/>
      <c r="L38" s="839"/>
      <c r="M38" s="839"/>
      <c r="N38" s="839"/>
    </row>
    <row r="39" spans="3:14" ht="13.15" customHeight="1" thickBot="1" x14ac:dyDescent="0.25">
      <c r="C39" s="906" t="s">
        <v>16</v>
      </c>
      <c r="D39" s="908"/>
      <c r="E39" s="836">
        <f t="shared" si="1"/>
        <v>0.1179956609752062</v>
      </c>
      <c r="F39" s="836">
        <f t="shared" si="1"/>
        <v>0.10271845619913766</v>
      </c>
      <c r="G39" s="907">
        <f t="shared" si="1"/>
        <v>0.13617478700694607</v>
      </c>
      <c r="H39" s="835"/>
    </row>
    <row r="40" spans="3:14" ht="13.15" customHeight="1" thickBot="1" x14ac:dyDescent="0.25">
      <c r="C40" s="906" t="s">
        <v>17</v>
      </c>
      <c r="D40" s="905"/>
      <c r="E40" s="904">
        <f t="shared" si="1"/>
        <v>0.21521851861870034</v>
      </c>
      <c r="F40" s="904">
        <f t="shared" si="1"/>
        <v>0.16713405138485959</v>
      </c>
      <c r="G40" s="903">
        <f t="shared" si="1"/>
        <v>2.0000000000000018E-2</v>
      </c>
      <c r="H40" s="835"/>
      <c r="J40" s="774">
        <f>D44*1.4</f>
        <v>6931190</v>
      </c>
    </row>
    <row r="41" spans="3:14" ht="13.15" customHeight="1" thickBot="1" x14ac:dyDescent="0.25">
      <c r="C41" s="834" t="s">
        <v>765</v>
      </c>
      <c r="D41" s="902"/>
      <c r="E41" s="902"/>
      <c r="F41" s="902"/>
      <c r="G41" s="901"/>
      <c r="H41" s="1486">
        <f>H44*1.1</f>
        <v>5545681.9000000004</v>
      </c>
      <c r="I41" s="1486">
        <f>H41*1.1</f>
        <v>6100250.0900000008</v>
      </c>
      <c r="J41" s="1486">
        <f>I41*1.14</f>
        <v>6954285.1025999999</v>
      </c>
      <c r="K41" s="1488">
        <f>J41/D44</f>
        <v>1.4046648762535725</v>
      </c>
    </row>
    <row r="42" spans="3:14" ht="13.15" customHeight="1" x14ac:dyDescent="0.2">
      <c r="C42" s="1151"/>
      <c r="D42" s="828">
        <v>2018</v>
      </c>
      <c r="E42" s="828">
        <v>2019</v>
      </c>
      <c r="F42" s="828">
        <v>2020</v>
      </c>
      <c r="G42" s="828">
        <v>2021</v>
      </c>
      <c r="H42" s="1487">
        <f>H41*16%</f>
        <v>887309.10400000005</v>
      </c>
      <c r="I42" s="1487">
        <f t="shared" ref="I42:J42" si="2">I41*16%</f>
        <v>976040.0144000001</v>
      </c>
      <c r="J42" s="1487">
        <f t="shared" si="2"/>
        <v>1112685.6164160001</v>
      </c>
    </row>
    <row r="43" spans="3:14" ht="13.15" customHeight="1" thickBot="1" x14ac:dyDescent="0.25">
      <c r="C43" s="1152"/>
      <c r="D43" s="827" t="s">
        <v>6</v>
      </c>
      <c r="E43" s="827" t="s">
        <v>7</v>
      </c>
      <c r="F43" s="827" t="s">
        <v>7</v>
      </c>
      <c r="G43" s="827" t="s">
        <v>7</v>
      </c>
      <c r="H43" s="1487">
        <f>H46*1.1</f>
        <v>111072.50000000001</v>
      </c>
      <c r="I43" s="1487">
        <f>I46*1.1</f>
        <v>139969.5</v>
      </c>
      <c r="J43" s="1487">
        <f>J46*1.1</f>
        <v>131961.5</v>
      </c>
    </row>
    <row r="44" spans="3:14" ht="13.15" customHeight="1" thickBot="1" x14ac:dyDescent="0.25">
      <c r="C44" s="809" t="s">
        <v>0</v>
      </c>
      <c r="D44" s="899">
        <v>4950850</v>
      </c>
      <c r="E44" s="899">
        <v>5545681.9000000004</v>
      </c>
      <c r="F44" s="899">
        <v>6100250.0900000008</v>
      </c>
      <c r="G44" s="899">
        <v>6954285.1025999999</v>
      </c>
      <c r="H44" s="898">
        <v>5041529</v>
      </c>
      <c r="I44" s="900">
        <v>5150850</v>
      </c>
      <c r="J44" s="900">
        <v>5150850</v>
      </c>
      <c r="K44" s="900"/>
    </row>
    <row r="45" spans="3:14" ht="23.25" customHeight="1" thickBot="1" x14ac:dyDescent="0.25">
      <c r="C45" s="809" t="s">
        <v>49</v>
      </c>
      <c r="D45" s="899">
        <v>856439</v>
      </c>
      <c r="E45" s="899">
        <v>887309.10400000005</v>
      </c>
      <c r="F45" s="899">
        <v>976040.0144000001</v>
      </c>
      <c r="G45" s="899">
        <v>1112685.6164160001</v>
      </c>
      <c r="H45" s="898">
        <v>856439</v>
      </c>
      <c r="I45" s="774">
        <v>885025</v>
      </c>
      <c r="J45" s="774">
        <v>885025</v>
      </c>
    </row>
    <row r="46" spans="3:14" ht="13.15" customHeight="1" thickBot="1" x14ac:dyDescent="0.25">
      <c r="C46" s="809" t="s">
        <v>1</v>
      </c>
      <c r="D46" s="895">
        <f>98100-52000</f>
        <v>46100</v>
      </c>
      <c r="E46" s="895">
        <v>151072.5</v>
      </c>
      <c r="F46" s="895">
        <v>189969.5</v>
      </c>
      <c r="G46" s="895">
        <v>211961.5</v>
      </c>
      <c r="H46" s="894">
        <v>100975</v>
      </c>
      <c r="I46" s="774">
        <v>127245</v>
      </c>
      <c r="J46" s="774">
        <v>119965</v>
      </c>
    </row>
    <row r="47" spans="3:14" ht="13.15" customHeight="1" thickBot="1" x14ac:dyDescent="0.25">
      <c r="C47" s="809" t="s">
        <v>2</v>
      </c>
      <c r="D47" s="895">
        <v>0</v>
      </c>
      <c r="E47" s="899"/>
      <c r="F47" s="899"/>
      <c r="G47" s="899"/>
      <c r="H47" s="898"/>
    </row>
    <row r="48" spans="3:14" ht="13.15" customHeight="1" thickBot="1" x14ac:dyDescent="0.25">
      <c r="C48" s="809" t="s">
        <v>28</v>
      </c>
      <c r="D48" s="895">
        <v>0</v>
      </c>
      <c r="E48" s="899"/>
      <c r="F48" s="899"/>
      <c r="G48" s="899"/>
      <c r="H48" s="898"/>
    </row>
    <row r="49" spans="3:13" ht="13.15" customHeight="1" thickBot="1" x14ac:dyDescent="0.25">
      <c r="C49" s="809" t="s">
        <v>30</v>
      </c>
      <c r="D49" s="895">
        <v>0</v>
      </c>
      <c r="E49" s="899"/>
      <c r="F49" s="899"/>
      <c r="G49" s="899"/>
      <c r="H49" s="898"/>
    </row>
    <row r="50" spans="3:13" ht="13.15" customHeight="1" thickBot="1" x14ac:dyDescent="0.25">
      <c r="C50" s="809" t="s">
        <v>3</v>
      </c>
      <c r="D50" s="897"/>
      <c r="E50" s="897"/>
      <c r="F50" s="897"/>
      <c r="G50" s="897"/>
      <c r="H50" s="896"/>
    </row>
    <row r="51" spans="3:13" ht="13.15" customHeight="1" thickBot="1" x14ac:dyDescent="0.25">
      <c r="C51" s="830" t="s">
        <v>764</v>
      </c>
      <c r="D51" s="895">
        <f>SUM(D44:D50)</f>
        <v>5853389</v>
      </c>
      <c r="E51" s="895">
        <f>SUM(E44:E50)</f>
        <v>6584063.5040000007</v>
      </c>
      <c r="F51" s="895">
        <f>SUM(F44:F50)</f>
        <v>7266259.6044000005</v>
      </c>
      <c r="G51" s="895">
        <f>SUM(G44:G50)</f>
        <v>8278932.2190159997</v>
      </c>
      <c r="H51" s="894"/>
    </row>
    <row r="52" spans="3:13" ht="13.15" customHeight="1" thickBot="1" x14ac:dyDescent="0.25">
      <c r="C52" s="802" t="s">
        <v>70</v>
      </c>
      <c r="D52" s="801">
        <f>D51-D36</f>
        <v>0</v>
      </c>
      <c r="E52" s="801">
        <f>E51-E36</f>
        <v>40000</v>
      </c>
      <c r="F52" s="801">
        <f>F51-F36</f>
        <v>50000</v>
      </c>
      <c r="G52" s="801">
        <f>G51-G36</f>
        <v>80000</v>
      </c>
      <c r="H52" s="800"/>
    </row>
    <row r="53" spans="3:13" s="869" customFormat="1" ht="41.45" customHeight="1" thickBot="1" x14ac:dyDescent="0.25">
      <c r="C53" s="871" t="s">
        <v>22</v>
      </c>
      <c r="D53" s="2530" t="s">
        <v>763</v>
      </c>
      <c r="E53" s="2531"/>
      <c r="F53" s="2531"/>
      <c r="G53" s="2532"/>
      <c r="H53" s="848"/>
    </row>
    <row r="54" spans="3:13" ht="30.75" customHeight="1" thickBot="1" x14ac:dyDescent="0.25">
      <c r="C54" s="2543" t="s">
        <v>495</v>
      </c>
      <c r="D54" s="2544"/>
      <c r="E54" s="2544"/>
      <c r="F54" s="2544"/>
      <c r="G54" s="2545"/>
      <c r="H54" s="857"/>
      <c r="K54" s="856"/>
      <c r="M54" s="856"/>
    </row>
    <row r="55" spans="3:13" ht="13.15" customHeight="1" x14ac:dyDescent="0.2">
      <c r="C55" s="858"/>
      <c r="D55" s="858">
        <v>2018</v>
      </c>
      <c r="E55" s="858">
        <v>2019</v>
      </c>
      <c r="F55" s="858">
        <v>2020</v>
      </c>
      <c r="G55" s="858">
        <v>2021</v>
      </c>
      <c r="H55" s="857"/>
      <c r="K55" s="856"/>
      <c r="M55" s="856"/>
    </row>
    <row r="56" spans="3:13" ht="20.25" customHeight="1" thickBot="1" x14ac:dyDescent="0.25">
      <c r="C56" s="893" t="s">
        <v>762</v>
      </c>
      <c r="D56" s="867">
        <v>1400</v>
      </c>
      <c r="E56" s="867">
        <v>1400</v>
      </c>
      <c r="F56" s="867">
        <v>1400</v>
      </c>
      <c r="G56" s="867">
        <v>1400</v>
      </c>
      <c r="H56" s="866"/>
    </row>
    <row r="57" spans="3:13" ht="18.75" customHeight="1" thickBot="1" x14ac:dyDescent="0.25">
      <c r="C57" s="893" t="s">
        <v>761</v>
      </c>
      <c r="D57" s="892">
        <v>0.6</v>
      </c>
      <c r="E57" s="892">
        <v>0.25</v>
      </c>
      <c r="F57" s="892">
        <v>0.25</v>
      </c>
      <c r="G57" s="892">
        <v>0.25</v>
      </c>
      <c r="H57" s="891"/>
    </row>
    <row r="58" spans="3:13" ht="13.15" customHeight="1" thickBot="1" x14ac:dyDescent="0.25">
      <c r="C58" s="2527" t="s">
        <v>67</v>
      </c>
      <c r="D58" s="2528"/>
      <c r="E58" s="2528"/>
      <c r="F58" s="2528"/>
      <c r="G58" s="2529"/>
      <c r="H58" s="851"/>
    </row>
    <row r="59" spans="3:13" ht="13.15" customHeight="1" thickBot="1" x14ac:dyDescent="0.25">
      <c r="C59" s="2527" t="s">
        <v>121</v>
      </c>
      <c r="D59" s="2528"/>
      <c r="E59" s="2528"/>
      <c r="F59" s="2528"/>
      <c r="G59" s="2529"/>
      <c r="H59" s="851"/>
    </row>
    <row r="60" spans="3:13" ht="33.6" customHeight="1" thickBot="1" x14ac:dyDescent="0.25">
      <c r="C60" s="850" t="s">
        <v>669</v>
      </c>
      <c r="D60" s="2530" t="s">
        <v>760</v>
      </c>
      <c r="E60" s="2531"/>
      <c r="F60" s="2531"/>
      <c r="G60" s="2532"/>
      <c r="H60" s="848"/>
    </row>
    <row r="61" spans="3:13" ht="24" customHeight="1" thickBot="1" x14ac:dyDescent="0.25">
      <c r="C61" s="838" t="s">
        <v>10</v>
      </c>
      <c r="D61" s="2530" t="s">
        <v>760</v>
      </c>
      <c r="E61" s="2531"/>
      <c r="F61" s="2531"/>
      <c r="G61" s="2532"/>
      <c r="H61" s="848"/>
    </row>
    <row r="62" spans="3:13" ht="13.15" customHeight="1" thickBot="1" x14ac:dyDescent="0.25">
      <c r="C62" s="838" t="s">
        <v>13</v>
      </c>
      <c r="D62" s="2533" t="s">
        <v>759</v>
      </c>
      <c r="E62" s="2534"/>
      <c r="F62" s="2534"/>
      <c r="G62" s="2535"/>
      <c r="H62" s="847"/>
    </row>
    <row r="63" spans="3:13" ht="13.15" customHeight="1" x14ac:dyDescent="0.2">
      <c r="C63" s="2536"/>
      <c r="D63" s="828">
        <v>2018</v>
      </c>
      <c r="E63" s="828">
        <v>2019</v>
      </c>
      <c r="F63" s="828">
        <v>2020</v>
      </c>
      <c r="G63" s="828">
        <v>2021</v>
      </c>
      <c r="H63" s="826"/>
    </row>
    <row r="64" spans="3:13" ht="13.15" customHeight="1" thickBot="1" x14ac:dyDescent="0.25">
      <c r="C64" s="2537"/>
      <c r="D64" s="827" t="s">
        <v>6</v>
      </c>
      <c r="E64" s="827" t="s">
        <v>7</v>
      </c>
      <c r="F64" s="827" t="s">
        <v>7</v>
      </c>
      <c r="G64" s="827" t="s">
        <v>7</v>
      </c>
      <c r="H64" s="826"/>
    </row>
    <row r="65" spans="3:14" ht="13.15" customHeight="1" thickBot="1" x14ac:dyDescent="0.25">
      <c r="C65" s="838" t="s">
        <v>9</v>
      </c>
      <c r="D65" s="884">
        <v>1400</v>
      </c>
      <c r="E65" s="884">
        <v>1400</v>
      </c>
      <c r="F65" s="884">
        <v>1400</v>
      </c>
      <c r="G65" s="884">
        <v>1400</v>
      </c>
      <c r="H65" s="883"/>
    </row>
    <row r="66" spans="3:14" ht="13.15" customHeight="1" thickBot="1" x14ac:dyDescent="0.25">
      <c r="C66" s="838" t="s">
        <v>14</v>
      </c>
      <c r="D66" s="875">
        <v>10000</v>
      </c>
      <c r="E66" s="875">
        <v>12000</v>
      </c>
      <c r="F66" s="875">
        <v>12480</v>
      </c>
      <c r="G66" s="875">
        <v>12960</v>
      </c>
      <c r="H66" s="874"/>
    </row>
    <row r="67" spans="3:14" ht="13.15" customHeight="1" thickBot="1" x14ac:dyDescent="0.25">
      <c r="C67" s="838" t="s">
        <v>23</v>
      </c>
      <c r="D67" s="875">
        <f>D66/D65</f>
        <v>7.1428571428571432</v>
      </c>
      <c r="E67" s="875">
        <f>E66/E65</f>
        <v>8.5714285714285712</v>
      </c>
      <c r="F67" s="875">
        <f>F66/F65</f>
        <v>8.9142857142857146</v>
      </c>
      <c r="G67" s="875">
        <f>G66/G65</f>
        <v>9.257142857142858</v>
      </c>
      <c r="H67" s="874"/>
    </row>
    <row r="68" spans="3:14" ht="13.15" customHeight="1" thickBot="1" x14ac:dyDescent="0.25">
      <c r="C68" s="838" t="s">
        <v>15</v>
      </c>
      <c r="D68" s="837"/>
      <c r="E68" s="836">
        <f t="shared" ref="E68:G70" si="3">E65/D65-1</f>
        <v>0</v>
      </c>
      <c r="F68" s="836">
        <f t="shared" si="3"/>
        <v>0</v>
      </c>
      <c r="G68" s="836">
        <f t="shared" si="3"/>
        <v>0</v>
      </c>
      <c r="H68" s="835"/>
      <c r="J68" s="839"/>
      <c r="K68" s="839"/>
      <c r="L68" s="839"/>
      <c r="M68" s="839"/>
      <c r="N68" s="839"/>
    </row>
    <row r="69" spans="3:14" ht="13.15" customHeight="1" thickBot="1" x14ac:dyDescent="0.25">
      <c r="C69" s="838" t="s">
        <v>16</v>
      </c>
      <c r="D69" s="837"/>
      <c r="E69" s="836">
        <f t="shared" si="3"/>
        <v>0.19999999999999996</v>
      </c>
      <c r="F69" s="836">
        <f t="shared" si="3"/>
        <v>4.0000000000000036E-2</v>
      </c>
      <c r="G69" s="836">
        <f t="shared" si="3"/>
        <v>3.8461538461538547E-2</v>
      </c>
      <c r="H69" s="835"/>
    </row>
    <row r="70" spans="3:14" ht="13.15" customHeight="1" thickBot="1" x14ac:dyDescent="0.25">
      <c r="C70" s="838" t="s">
        <v>17</v>
      </c>
      <c r="D70" s="837"/>
      <c r="E70" s="836">
        <f t="shared" si="3"/>
        <v>0.19999999999999996</v>
      </c>
      <c r="F70" s="836">
        <f t="shared" si="3"/>
        <v>4.0000000000000036E-2</v>
      </c>
      <c r="G70" s="836">
        <f t="shared" si="3"/>
        <v>3.8461538461538547E-2</v>
      </c>
      <c r="H70" s="835"/>
    </row>
    <row r="71" spans="3:14" ht="24.75" customHeight="1" thickBot="1" x14ac:dyDescent="0.25">
      <c r="C71" s="834" t="s">
        <v>707</v>
      </c>
      <c r="D71" s="833"/>
      <c r="E71" s="833"/>
      <c r="F71" s="833"/>
      <c r="G71" s="832"/>
      <c r="H71" s="831"/>
    </row>
    <row r="72" spans="3:14" ht="13.15" customHeight="1" x14ac:dyDescent="0.2">
      <c r="C72" s="1151"/>
      <c r="D72" s="828">
        <v>2018</v>
      </c>
      <c r="E72" s="828">
        <v>2019</v>
      </c>
      <c r="F72" s="828">
        <v>2020</v>
      </c>
      <c r="G72" s="828">
        <v>2021</v>
      </c>
      <c r="H72" s="826"/>
    </row>
    <row r="73" spans="3:14" ht="13.15" customHeight="1" thickBot="1" x14ac:dyDescent="0.25">
      <c r="C73" s="1152"/>
      <c r="D73" s="827" t="s">
        <v>6</v>
      </c>
      <c r="E73" s="827" t="s">
        <v>7</v>
      </c>
      <c r="F73" s="827" t="s">
        <v>7</v>
      </c>
      <c r="G73" s="827" t="s">
        <v>7</v>
      </c>
      <c r="H73" s="826"/>
    </row>
    <row r="74" spans="3:14" ht="13.15" customHeight="1" thickBot="1" x14ac:dyDescent="0.25">
      <c r="C74" s="809" t="s">
        <v>0</v>
      </c>
      <c r="D74" s="818">
        <v>0</v>
      </c>
      <c r="E74" s="818"/>
      <c r="F74" s="818"/>
      <c r="G74" s="818"/>
      <c r="H74" s="817"/>
    </row>
    <row r="75" spans="3:14" ht="26.25" customHeight="1" thickBot="1" x14ac:dyDescent="0.25">
      <c r="C75" s="809" t="s">
        <v>49</v>
      </c>
      <c r="D75" s="818">
        <v>0</v>
      </c>
      <c r="E75" s="818"/>
      <c r="F75" s="818"/>
      <c r="G75" s="818"/>
      <c r="H75" s="817"/>
    </row>
    <row r="76" spans="3:14" ht="13.15" customHeight="1" thickBot="1" x14ac:dyDescent="0.25">
      <c r="C76" s="809" t="s">
        <v>1</v>
      </c>
      <c r="D76" s="805">
        <f>D66</f>
        <v>10000</v>
      </c>
      <c r="E76" s="805">
        <f>E66</f>
        <v>12000</v>
      </c>
      <c r="F76" s="805">
        <f>F66</f>
        <v>12480</v>
      </c>
      <c r="G76" s="805">
        <f>G66</f>
        <v>12960</v>
      </c>
      <c r="H76" s="816"/>
    </row>
    <row r="77" spans="3:14" ht="13.15" customHeight="1" thickBot="1" x14ac:dyDescent="0.25">
      <c r="C77" s="809" t="s">
        <v>2</v>
      </c>
      <c r="D77" s="805">
        <v>0</v>
      </c>
      <c r="E77" s="818"/>
      <c r="F77" s="818"/>
      <c r="G77" s="818"/>
      <c r="H77" s="817"/>
    </row>
    <row r="78" spans="3:14" ht="13.15" customHeight="1" thickBot="1" x14ac:dyDescent="0.25">
      <c r="C78" s="809" t="s">
        <v>28</v>
      </c>
      <c r="D78" s="805">
        <v>0</v>
      </c>
      <c r="E78" s="818"/>
      <c r="F78" s="818"/>
      <c r="G78" s="818"/>
      <c r="H78" s="817"/>
    </row>
    <row r="79" spans="3:14" ht="13.15" customHeight="1" thickBot="1" x14ac:dyDescent="0.25">
      <c r="C79" s="809" t="s">
        <v>30</v>
      </c>
      <c r="D79" s="805">
        <v>0</v>
      </c>
      <c r="E79" s="818"/>
      <c r="F79" s="818"/>
      <c r="G79" s="818"/>
      <c r="H79" s="817"/>
    </row>
    <row r="80" spans="3:14" ht="13.15" customHeight="1" thickBot="1" x14ac:dyDescent="0.25">
      <c r="C80" s="809" t="s">
        <v>3</v>
      </c>
      <c r="D80" s="794"/>
      <c r="E80" s="794"/>
      <c r="F80" s="794"/>
      <c r="G80" s="794"/>
      <c r="H80" s="793"/>
    </row>
    <row r="81" spans="3:14" ht="13.15" customHeight="1" thickBot="1" x14ac:dyDescent="0.25">
      <c r="C81" s="830" t="s">
        <v>68</v>
      </c>
      <c r="D81" s="805">
        <f>SUM(D74:D80)</f>
        <v>10000</v>
      </c>
      <c r="E81" s="805">
        <f>SUM(E74:E80)</f>
        <v>12000</v>
      </c>
      <c r="F81" s="805">
        <f>SUM(F74:F80)</f>
        <v>12480</v>
      </c>
      <c r="G81" s="805">
        <f>SUM(G74:G80)</f>
        <v>12960</v>
      </c>
      <c r="H81" s="816"/>
    </row>
    <row r="82" spans="3:14" ht="13.15" customHeight="1" thickBot="1" x14ac:dyDescent="0.25">
      <c r="C82" s="802" t="s">
        <v>70</v>
      </c>
      <c r="D82" s="801">
        <f>D66-D81</f>
        <v>0</v>
      </c>
      <c r="E82" s="801">
        <f>E66-E81</f>
        <v>0</v>
      </c>
      <c r="F82" s="801">
        <f>F66-F81</f>
        <v>0</v>
      </c>
      <c r="G82" s="801">
        <f>G66-G81</f>
        <v>0</v>
      </c>
      <c r="H82" s="800"/>
    </row>
    <row r="83" spans="3:14" ht="28.15" customHeight="1" thickBot="1" x14ac:dyDescent="0.25">
      <c r="C83" s="850" t="s">
        <v>666</v>
      </c>
      <c r="D83" s="2530" t="s">
        <v>758</v>
      </c>
      <c r="E83" s="2531"/>
      <c r="F83" s="2531"/>
      <c r="G83" s="2532"/>
      <c r="H83" s="848"/>
    </row>
    <row r="84" spans="3:14" ht="28.9" customHeight="1" thickBot="1" x14ac:dyDescent="0.25">
      <c r="C84" s="838" t="s">
        <v>10</v>
      </c>
      <c r="D84" s="2530" t="s">
        <v>758</v>
      </c>
      <c r="E84" s="2531"/>
      <c r="F84" s="2531"/>
      <c r="G84" s="2532"/>
      <c r="H84" s="848"/>
    </row>
    <row r="85" spans="3:14" ht="13.15" customHeight="1" thickBot="1" x14ac:dyDescent="0.25">
      <c r="C85" s="838" t="s">
        <v>13</v>
      </c>
      <c r="D85" s="2533" t="s">
        <v>757</v>
      </c>
      <c r="E85" s="2534"/>
      <c r="F85" s="2534"/>
      <c r="G85" s="2535"/>
      <c r="H85" s="847"/>
    </row>
    <row r="86" spans="3:14" ht="13.15" customHeight="1" x14ac:dyDescent="0.2">
      <c r="C86" s="2536"/>
      <c r="D86" s="828">
        <v>2018</v>
      </c>
      <c r="E86" s="828">
        <v>2019</v>
      </c>
      <c r="F86" s="828">
        <v>2020</v>
      </c>
      <c r="G86" s="828">
        <v>2021</v>
      </c>
      <c r="H86" s="826"/>
    </row>
    <row r="87" spans="3:14" ht="13.15" customHeight="1" thickBot="1" x14ac:dyDescent="0.25">
      <c r="C87" s="2537"/>
      <c r="D87" s="827" t="s">
        <v>6</v>
      </c>
      <c r="E87" s="827" t="s">
        <v>7</v>
      </c>
      <c r="F87" s="827" t="s">
        <v>7</v>
      </c>
      <c r="G87" s="827" t="s">
        <v>7</v>
      </c>
      <c r="H87" s="826"/>
    </row>
    <row r="88" spans="3:14" ht="13.15" customHeight="1" thickBot="1" x14ac:dyDescent="0.25">
      <c r="C88" s="838" t="s">
        <v>9</v>
      </c>
      <c r="D88" s="890">
        <v>1400</v>
      </c>
      <c r="E88" s="890">
        <v>1400</v>
      </c>
      <c r="F88" s="890">
        <v>1400</v>
      </c>
      <c r="G88" s="890">
        <v>1400</v>
      </c>
      <c r="H88" s="889"/>
    </row>
    <row r="89" spans="3:14" ht="13.15" customHeight="1" thickBot="1" x14ac:dyDescent="0.25">
      <c r="C89" s="838" t="s">
        <v>14</v>
      </c>
      <c r="D89" s="875">
        <v>12000</v>
      </c>
      <c r="E89" s="875">
        <v>12000</v>
      </c>
      <c r="F89" s="875">
        <v>12000</v>
      </c>
      <c r="G89" s="875">
        <v>12000</v>
      </c>
      <c r="H89" s="874"/>
    </row>
    <row r="90" spans="3:14" ht="13.15" customHeight="1" thickBot="1" x14ac:dyDescent="0.25">
      <c r="C90" s="838" t="s">
        <v>23</v>
      </c>
      <c r="D90" s="842">
        <v>300</v>
      </c>
      <c r="E90" s="842">
        <v>300</v>
      </c>
      <c r="F90" s="842">
        <v>300</v>
      </c>
      <c r="G90" s="842">
        <v>300</v>
      </c>
      <c r="H90" s="863"/>
    </row>
    <row r="91" spans="3:14" ht="13.15" customHeight="1" thickBot="1" x14ac:dyDescent="0.25">
      <c r="C91" s="838" t="s">
        <v>15</v>
      </c>
      <c r="D91" s="837"/>
      <c r="E91" s="836">
        <f t="shared" ref="E91:G93" si="4">E88/D88-1</f>
        <v>0</v>
      </c>
      <c r="F91" s="836">
        <f t="shared" si="4"/>
        <v>0</v>
      </c>
      <c r="G91" s="836">
        <f t="shared" si="4"/>
        <v>0</v>
      </c>
      <c r="H91" s="835"/>
      <c r="J91" s="839"/>
      <c r="K91" s="839"/>
      <c r="L91" s="839"/>
      <c r="M91" s="839"/>
      <c r="N91" s="839"/>
    </row>
    <row r="92" spans="3:14" ht="13.15" customHeight="1" thickBot="1" x14ac:dyDescent="0.25">
      <c r="C92" s="838" t="s">
        <v>16</v>
      </c>
      <c r="D92" s="837"/>
      <c r="E92" s="836">
        <f t="shared" si="4"/>
        <v>0</v>
      </c>
      <c r="F92" s="836">
        <f t="shared" si="4"/>
        <v>0</v>
      </c>
      <c r="G92" s="836">
        <f t="shared" si="4"/>
        <v>0</v>
      </c>
      <c r="H92" s="835"/>
    </row>
    <row r="93" spans="3:14" ht="13.15" customHeight="1" thickBot="1" x14ac:dyDescent="0.25">
      <c r="C93" s="838" t="s">
        <v>17</v>
      </c>
      <c r="D93" s="837"/>
      <c r="E93" s="836">
        <f t="shared" si="4"/>
        <v>0</v>
      </c>
      <c r="F93" s="836">
        <f t="shared" si="4"/>
        <v>0</v>
      </c>
      <c r="G93" s="836">
        <f t="shared" si="4"/>
        <v>0</v>
      </c>
      <c r="H93" s="835"/>
    </row>
    <row r="94" spans="3:14" ht="29.25" customHeight="1" thickBot="1" x14ac:dyDescent="0.25">
      <c r="C94" s="834" t="s">
        <v>729</v>
      </c>
      <c r="D94" s="833"/>
      <c r="E94" s="833"/>
      <c r="F94" s="833"/>
      <c r="G94" s="832"/>
      <c r="H94" s="831"/>
    </row>
    <row r="95" spans="3:14" ht="13.15" customHeight="1" x14ac:dyDescent="0.2">
      <c r="C95" s="1151"/>
      <c r="D95" s="828">
        <v>2018</v>
      </c>
      <c r="E95" s="828">
        <v>2019</v>
      </c>
      <c r="F95" s="828">
        <v>2020</v>
      </c>
      <c r="G95" s="828">
        <v>2021</v>
      </c>
      <c r="H95" s="826"/>
    </row>
    <row r="96" spans="3:14" ht="13.15" customHeight="1" thickBot="1" x14ac:dyDescent="0.25">
      <c r="C96" s="1152"/>
      <c r="D96" s="827" t="s">
        <v>6</v>
      </c>
      <c r="E96" s="827" t="s">
        <v>7</v>
      </c>
      <c r="F96" s="827" t="s">
        <v>7</v>
      </c>
      <c r="G96" s="827" t="s">
        <v>7</v>
      </c>
      <c r="H96" s="826"/>
    </row>
    <row r="97" spans="3:10" ht="13.15" customHeight="1" thickBot="1" x14ac:dyDescent="0.25">
      <c r="C97" s="809" t="s">
        <v>0</v>
      </c>
      <c r="D97" s="818">
        <v>0</v>
      </c>
      <c r="E97" s="818"/>
      <c r="F97" s="818"/>
      <c r="G97" s="818"/>
      <c r="H97" s="817"/>
    </row>
    <row r="98" spans="3:10" ht="27" customHeight="1" thickBot="1" x14ac:dyDescent="0.25">
      <c r="C98" s="809" t="s">
        <v>49</v>
      </c>
      <c r="D98" s="818">
        <v>0</v>
      </c>
      <c r="E98" s="818"/>
      <c r="F98" s="818"/>
      <c r="G98" s="818"/>
      <c r="H98" s="817"/>
    </row>
    <row r="99" spans="3:10" ht="13.15" customHeight="1" thickBot="1" x14ac:dyDescent="0.25">
      <c r="C99" s="809" t="s">
        <v>1</v>
      </c>
      <c r="D99" s="805">
        <f>D89</f>
        <v>12000</v>
      </c>
      <c r="E99" s="805">
        <f>E89</f>
        <v>12000</v>
      </c>
      <c r="F99" s="805">
        <f>F89</f>
        <v>12000</v>
      </c>
      <c r="G99" s="805">
        <f>G89</f>
        <v>12000</v>
      </c>
      <c r="H99" s="816"/>
    </row>
    <row r="100" spans="3:10" ht="13.15" customHeight="1" thickBot="1" x14ac:dyDescent="0.25">
      <c r="C100" s="809" t="s">
        <v>2</v>
      </c>
      <c r="D100" s="805">
        <v>0</v>
      </c>
      <c r="E100" s="818"/>
      <c r="F100" s="818"/>
      <c r="G100" s="818"/>
      <c r="H100" s="817"/>
    </row>
    <row r="101" spans="3:10" ht="13.15" customHeight="1" thickBot="1" x14ac:dyDescent="0.25">
      <c r="C101" s="809" t="s">
        <v>28</v>
      </c>
      <c r="D101" s="805">
        <v>0</v>
      </c>
      <c r="E101" s="818"/>
      <c r="F101" s="818"/>
      <c r="G101" s="818"/>
      <c r="H101" s="817"/>
    </row>
    <row r="102" spans="3:10" ht="13.15" customHeight="1" thickBot="1" x14ac:dyDescent="0.25">
      <c r="C102" s="809" t="s">
        <v>30</v>
      </c>
      <c r="D102" s="805">
        <v>0</v>
      </c>
      <c r="E102" s="818"/>
      <c r="F102" s="818"/>
      <c r="G102" s="818"/>
      <c r="H102" s="817"/>
    </row>
    <row r="103" spans="3:10" ht="13.15" customHeight="1" thickBot="1" x14ac:dyDescent="0.25">
      <c r="C103" s="809" t="s">
        <v>3</v>
      </c>
      <c r="D103" s="794"/>
      <c r="E103" s="794"/>
      <c r="F103" s="794"/>
      <c r="G103" s="794"/>
      <c r="H103" s="793"/>
    </row>
    <row r="104" spans="3:10" ht="13.15" customHeight="1" thickBot="1" x14ac:dyDescent="0.25">
      <c r="C104" s="830" t="s">
        <v>641</v>
      </c>
      <c r="D104" s="805">
        <f>SUM(D97:D103)</f>
        <v>12000</v>
      </c>
      <c r="E104" s="805">
        <f>SUM(E97:E103)</f>
        <v>12000</v>
      </c>
      <c r="F104" s="805">
        <f>SUM(F97:F103)</f>
        <v>12000</v>
      </c>
      <c r="G104" s="805">
        <f>SUM(G97:G103)</f>
        <v>12000</v>
      </c>
      <c r="H104" s="816"/>
    </row>
    <row r="105" spans="3:10" ht="13.15" customHeight="1" thickBot="1" x14ac:dyDescent="0.25">
      <c r="C105" s="802" t="s">
        <v>70</v>
      </c>
      <c r="D105" s="801">
        <f>D104-D89</f>
        <v>0</v>
      </c>
      <c r="E105" s="801">
        <f>E104-E89</f>
        <v>0</v>
      </c>
      <c r="F105" s="801">
        <f>F104-F89</f>
        <v>0</v>
      </c>
      <c r="G105" s="801">
        <f>G104-G89</f>
        <v>0</v>
      </c>
      <c r="H105" s="800"/>
    </row>
    <row r="106" spans="3:10" ht="39.75" customHeight="1" thickBot="1" x14ac:dyDescent="0.25">
      <c r="C106" s="850" t="s">
        <v>756</v>
      </c>
      <c r="D106" s="2530" t="s">
        <v>755</v>
      </c>
      <c r="E106" s="2531"/>
      <c r="F106" s="2531"/>
      <c r="G106" s="2532"/>
      <c r="H106" s="848"/>
    </row>
    <row r="107" spans="3:10" ht="38.25" customHeight="1" thickBot="1" x14ac:dyDescent="0.25">
      <c r="C107" s="838" t="s">
        <v>10</v>
      </c>
      <c r="D107" s="2530" t="s">
        <v>755</v>
      </c>
      <c r="E107" s="2531"/>
      <c r="F107" s="2531"/>
      <c r="G107" s="2532"/>
      <c r="H107" s="848"/>
    </row>
    <row r="108" spans="3:10" ht="13.15" customHeight="1" thickBot="1" x14ac:dyDescent="0.25">
      <c r="C108" s="838" t="s">
        <v>13</v>
      </c>
      <c r="D108" s="2533" t="s">
        <v>754</v>
      </c>
      <c r="E108" s="2534"/>
      <c r="F108" s="2534"/>
      <c r="G108" s="2535"/>
      <c r="H108" s="847"/>
    </row>
    <row r="109" spans="3:10" ht="13.15" customHeight="1" x14ac:dyDescent="0.2">
      <c r="C109" s="2536"/>
      <c r="D109" s="828">
        <v>2018</v>
      </c>
      <c r="E109" s="828">
        <v>2019</v>
      </c>
      <c r="F109" s="828">
        <v>2020</v>
      </c>
      <c r="G109" s="828">
        <v>2021</v>
      </c>
      <c r="H109" s="1494">
        <f>H111*1.1</f>
        <v>19800</v>
      </c>
      <c r="I109" s="1494">
        <f t="shared" ref="I109:J109" si="5">I111*1.1</f>
        <v>19800</v>
      </c>
      <c r="J109" s="1494">
        <f t="shared" si="5"/>
        <v>19800</v>
      </c>
    </row>
    <row r="110" spans="3:10" ht="13.15" customHeight="1" thickBot="1" x14ac:dyDescent="0.25">
      <c r="C110" s="2537"/>
      <c r="D110" s="827" t="s">
        <v>6</v>
      </c>
      <c r="E110" s="827" t="s">
        <v>7</v>
      </c>
      <c r="F110" s="827" t="s">
        <v>7</v>
      </c>
      <c r="G110" s="827" t="s">
        <v>7</v>
      </c>
      <c r="H110" s="826">
        <f>H112*1.4</f>
        <v>100800</v>
      </c>
      <c r="I110" s="826">
        <f t="shared" ref="I110:J110" si="6">I112*1.4</f>
        <v>103600</v>
      </c>
      <c r="J110" s="826">
        <f t="shared" si="6"/>
        <v>106400</v>
      </c>
    </row>
    <row r="111" spans="3:10" ht="13.15" customHeight="1" thickBot="1" x14ac:dyDescent="0.25">
      <c r="C111" s="838" t="s">
        <v>9</v>
      </c>
      <c r="D111" s="884">
        <v>18000</v>
      </c>
      <c r="E111" s="884">
        <v>19800</v>
      </c>
      <c r="F111" s="884">
        <v>19800</v>
      </c>
      <c r="G111" s="884">
        <v>19800</v>
      </c>
      <c r="H111" s="883">
        <v>18000</v>
      </c>
      <c r="I111" s="774">
        <v>18000</v>
      </c>
      <c r="J111" s="774">
        <v>18000</v>
      </c>
    </row>
    <row r="112" spans="3:10" ht="13.15" customHeight="1" thickBot="1" x14ac:dyDescent="0.25">
      <c r="C112" s="838" t="s">
        <v>14</v>
      </c>
      <c r="D112" s="888">
        <v>70000</v>
      </c>
      <c r="E112" s="888">
        <v>100800</v>
      </c>
      <c r="F112" s="888">
        <v>103600</v>
      </c>
      <c r="G112" s="888">
        <v>106400</v>
      </c>
      <c r="H112" s="887">
        <v>72000</v>
      </c>
      <c r="I112" s="774">
        <v>74000</v>
      </c>
      <c r="J112" s="774">
        <v>76000</v>
      </c>
    </row>
    <row r="113" spans="3:14" ht="13.15" customHeight="1" thickBot="1" x14ac:dyDescent="0.25">
      <c r="C113" s="838" t="s">
        <v>23</v>
      </c>
      <c r="D113" s="842">
        <f>D112/D111</f>
        <v>3.8888888888888888</v>
      </c>
      <c r="E113" s="842">
        <f>E112/E111</f>
        <v>5.0909090909090908</v>
      </c>
      <c r="F113" s="842">
        <f>F112/F111</f>
        <v>5.2323232323232327</v>
      </c>
      <c r="G113" s="842">
        <f>G112/G111</f>
        <v>5.3737373737373737</v>
      </c>
      <c r="H113" s="863"/>
    </row>
    <row r="114" spans="3:14" ht="13.15" customHeight="1" thickBot="1" x14ac:dyDescent="0.25">
      <c r="C114" s="838" t="s">
        <v>15</v>
      </c>
      <c r="D114" s="837"/>
      <c r="E114" s="836">
        <f t="shared" ref="E114:G116" si="7">E111/D111-1</f>
        <v>0.10000000000000009</v>
      </c>
      <c r="F114" s="836">
        <f t="shared" si="7"/>
        <v>0</v>
      </c>
      <c r="G114" s="836">
        <f t="shared" si="7"/>
        <v>0</v>
      </c>
      <c r="H114" s="835"/>
      <c r="J114" s="839"/>
      <c r="K114" s="839"/>
      <c r="L114" s="839"/>
      <c r="M114" s="839"/>
      <c r="N114" s="839"/>
    </row>
    <row r="115" spans="3:14" ht="13.15" customHeight="1" thickBot="1" x14ac:dyDescent="0.25">
      <c r="C115" s="838" t="s">
        <v>16</v>
      </c>
      <c r="D115" s="837"/>
      <c r="E115" s="836">
        <f t="shared" si="7"/>
        <v>0.43999999999999995</v>
      </c>
      <c r="F115" s="836">
        <f t="shared" si="7"/>
        <v>2.7777777777777679E-2</v>
      </c>
      <c r="G115" s="836">
        <f t="shared" si="7"/>
        <v>2.7027027027026973E-2</v>
      </c>
      <c r="H115" s="835"/>
    </row>
    <row r="116" spans="3:14" ht="13.15" customHeight="1" thickBot="1" x14ac:dyDescent="0.25">
      <c r="C116" s="838" t="s">
        <v>17</v>
      </c>
      <c r="D116" s="837"/>
      <c r="E116" s="836">
        <f t="shared" si="7"/>
        <v>0.30909090909090908</v>
      </c>
      <c r="F116" s="836">
        <f t="shared" si="7"/>
        <v>2.7777777777777901E-2</v>
      </c>
      <c r="G116" s="836">
        <f t="shared" si="7"/>
        <v>2.7027027027026973E-2</v>
      </c>
      <c r="H116" s="835"/>
    </row>
    <row r="117" spans="3:14" ht="23.25" customHeight="1" thickBot="1" x14ac:dyDescent="0.25">
      <c r="C117" s="834" t="s">
        <v>729</v>
      </c>
      <c r="D117" s="833"/>
      <c r="E117" s="833"/>
      <c r="F117" s="833"/>
      <c r="G117" s="832"/>
      <c r="H117" s="831"/>
    </row>
    <row r="118" spans="3:14" ht="13.15" customHeight="1" x14ac:dyDescent="0.2">
      <c r="C118" s="1151"/>
      <c r="D118" s="828">
        <v>2018</v>
      </c>
      <c r="E118" s="828">
        <v>2019</v>
      </c>
      <c r="F118" s="828">
        <v>2020</v>
      </c>
      <c r="G118" s="828">
        <v>2021</v>
      </c>
      <c r="H118" s="826"/>
    </row>
    <row r="119" spans="3:14" ht="13.15" customHeight="1" thickBot="1" x14ac:dyDescent="0.25">
      <c r="C119" s="1152"/>
      <c r="D119" s="827" t="s">
        <v>6</v>
      </c>
      <c r="E119" s="827" t="s">
        <v>7</v>
      </c>
      <c r="F119" s="827" t="s">
        <v>7</v>
      </c>
      <c r="G119" s="827" t="s">
        <v>7</v>
      </c>
      <c r="H119" s="826"/>
    </row>
    <row r="120" spans="3:14" ht="13.15" customHeight="1" thickBot="1" x14ac:dyDescent="0.25">
      <c r="C120" s="809" t="s">
        <v>0</v>
      </c>
      <c r="D120" s="818">
        <v>0</v>
      </c>
      <c r="E120" s="818"/>
      <c r="F120" s="818"/>
      <c r="G120" s="818"/>
      <c r="H120" s="817"/>
    </row>
    <row r="121" spans="3:14" ht="13.15" customHeight="1" thickBot="1" x14ac:dyDescent="0.25">
      <c r="C121" s="809" t="s">
        <v>49</v>
      </c>
      <c r="D121" s="818">
        <v>0</v>
      </c>
      <c r="E121" s="818"/>
      <c r="F121" s="818"/>
      <c r="G121" s="818"/>
      <c r="H121" s="817"/>
    </row>
    <row r="122" spans="3:14" ht="13.15" customHeight="1" thickBot="1" x14ac:dyDescent="0.25">
      <c r="C122" s="809" t="s">
        <v>1</v>
      </c>
      <c r="D122" s="805">
        <v>0</v>
      </c>
      <c r="E122" s="818"/>
      <c r="F122" s="818"/>
      <c r="G122" s="818"/>
      <c r="H122" s="817"/>
    </row>
    <row r="123" spans="3:14" ht="13.15" customHeight="1" thickBot="1" x14ac:dyDescent="0.25">
      <c r="C123" s="809" t="s">
        <v>2</v>
      </c>
      <c r="D123" s="805">
        <v>0</v>
      </c>
      <c r="E123" s="818"/>
      <c r="F123" s="818"/>
      <c r="G123" s="818"/>
      <c r="H123" s="817"/>
    </row>
    <row r="124" spans="3:14" ht="13.15" customHeight="1" thickBot="1" x14ac:dyDescent="0.25">
      <c r="C124" s="809" t="s">
        <v>28</v>
      </c>
      <c r="D124" s="805">
        <v>0</v>
      </c>
      <c r="E124" s="818"/>
      <c r="F124" s="818"/>
      <c r="G124" s="818"/>
      <c r="H124" s="817"/>
    </row>
    <row r="125" spans="3:14" ht="13.15" customHeight="1" thickBot="1" x14ac:dyDescent="0.25">
      <c r="C125" s="809" t="s">
        <v>30</v>
      </c>
      <c r="D125" s="805">
        <v>0</v>
      </c>
      <c r="E125" s="818"/>
      <c r="F125" s="818"/>
      <c r="G125" s="818"/>
      <c r="H125" s="817"/>
    </row>
    <row r="126" spans="3:14" ht="13.15" customHeight="1" thickBot="1" x14ac:dyDescent="0.25">
      <c r="C126" s="809" t="s">
        <v>3</v>
      </c>
      <c r="D126" s="794">
        <f>D112</f>
        <v>70000</v>
      </c>
      <c r="E126" s="794">
        <f>E112</f>
        <v>100800</v>
      </c>
      <c r="F126" s="794">
        <f>F112</f>
        <v>103600</v>
      </c>
      <c r="G126" s="794">
        <f>G112</f>
        <v>106400</v>
      </c>
      <c r="H126" s="793"/>
    </row>
    <row r="127" spans="3:14" ht="13.15" customHeight="1" thickBot="1" x14ac:dyDescent="0.25">
      <c r="C127" s="830" t="s">
        <v>641</v>
      </c>
      <c r="D127" s="805">
        <f>SUM(D120:D126)</f>
        <v>70000</v>
      </c>
      <c r="E127" s="805">
        <f>SUM(E120:E126)</f>
        <v>100800</v>
      </c>
      <c r="F127" s="805">
        <f>SUM(F120:F126)</f>
        <v>103600</v>
      </c>
      <c r="G127" s="805">
        <f>SUM(G120:G126)</f>
        <v>106400</v>
      </c>
      <c r="H127" s="816"/>
    </row>
    <row r="128" spans="3:14" ht="13.15" customHeight="1" thickBot="1" x14ac:dyDescent="0.25">
      <c r="C128" s="802" t="s">
        <v>70</v>
      </c>
      <c r="D128" s="801">
        <f>D127-D112</f>
        <v>0</v>
      </c>
      <c r="E128" s="801">
        <f>E127-E112</f>
        <v>0</v>
      </c>
      <c r="F128" s="801">
        <f>F127-F112</f>
        <v>0</v>
      </c>
      <c r="G128" s="801">
        <f>G127-G112</f>
        <v>0</v>
      </c>
      <c r="H128" s="800"/>
    </row>
    <row r="129" spans="3:14" ht="13.15" customHeight="1" thickBot="1" x14ac:dyDescent="0.25">
      <c r="C129" s="850" t="s">
        <v>753</v>
      </c>
      <c r="D129" s="2530" t="s">
        <v>752</v>
      </c>
      <c r="E129" s="2531"/>
      <c r="F129" s="2531"/>
      <c r="G129" s="2532"/>
      <c r="H129" s="848"/>
    </row>
    <row r="130" spans="3:14" ht="25.5" customHeight="1" thickBot="1" x14ac:dyDescent="0.25">
      <c r="C130" s="838" t="s">
        <v>10</v>
      </c>
      <c r="D130" s="2530" t="s">
        <v>751</v>
      </c>
      <c r="E130" s="2531"/>
      <c r="F130" s="2531"/>
      <c r="G130" s="2532"/>
      <c r="H130" s="848"/>
    </row>
    <row r="131" spans="3:14" ht="13.15" customHeight="1" thickBot="1" x14ac:dyDescent="0.25">
      <c r="C131" s="838" t="s">
        <v>13</v>
      </c>
      <c r="D131" s="2533" t="s">
        <v>750</v>
      </c>
      <c r="E131" s="2534"/>
      <c r="F131" s="2534"/>
      <c r="G131" s="2535"/>
      <c r="H131" s="847"/>
    </row>
    <row r="132" spans="3:14" ht="13.15" customHeight="1" x14ac:dyDescent="0.2">
      <c r="C132" s="2536"/>
      <c r="D132" s="828">
        <v>2018</v>
      </c>
      <c r="E132" s="828">
        <v>2019</v>
      </c>
      <c r="F132" s="828">
        <v>2020</v>
      </c>
      <c r="G132" s="828">
        <v>2021</v>
      </c>
      <c r="H132" s="1494">
        <f>H134*1.2</f>
        <v>3600</v>
      </c>
      <c r="I132" s="1494">
        <f t="shared" ref="I132:J132" si="8">I134*1.2</f>
        <v>3600</v>
      </c>
      <c r="J132" s="1494">
        <f t="shared" si="8"/>
        <v>3600</v>
      </c>
    </row>
    <row r="133" spans="3:14" ht="13.15" customHeight="1" thickBot="1" x14ac:dyDescent="0.25">
      <c r="C133" s="2537"/>
      <c r="D133" s="827" t="s">
        <v>6</v>
      </c>
      <c r="E133" s="827" t="s">
        <v>7</v>
      </c>
      <c r="F133" s="827" t="s">
        <v>7</v>
      </c>
      <c r="G133" s="827" t="s">
        <v>7</v>
      </c>
      <c r="H133" s="1494">
        <f>H135*1.3</f>
        <v>42900</v>
      </c>
      <c r="I133" s="1494">
        <f t="shared" ref="I133:J133" si="9">I135*1.3</f>
        <v>46800</v>
      </c>
      <c r="J133" s="1494">
        <f t="shared" si="9"/>
        <v>50700</v>
      </c>
    </row>
    <row r="134" spans="3:14" ht="13.15" customHeight="1" thickBot="1" x14ac:dyDescent="0.25">
      <c r="C134" s="838" t="s">
        <v>9</v>
      </c>
      <c r="D134" s="884">
        <v>3000</v>
      </c>
      <c r="E134" s="884">
        <v>3600</v>
      </c>
      <c r="F134" s="884">
        <v>3600</v>
      </c>
      <c r="G134" s="884">
        <v>3600</v>
      </c>
      <c r="H134" s="883">
        <v>3000</v>
      </c>
      <c r="I134" s="774">
        <v>3000</v>
      </c>
      <c r="J134" s="774">
        <v>3000</v>
      </c>
    </row>
    <row r="135" spans="3:14" ht="13.15" customHeight="1" thickBot="1" x14ac:dyDescent="0.25">
      <c r="C135" s="838" t="s">
        <v>14</v>
      </c>
      <c r="D135" s="884">
        <v>30000</v>
      </c>
      <c r="E135" s="884">
        <v>42900</v>
      </c>
      <c r="F135" s="884">
        <v>46800</v>
      </c>
      <c r="G135" s="884">
        <v>50700</v>
      </c>
      <c r="H135" s="883">
        <v>33000</v>
      </c>
      <c r="I135" s="774">
        <v>36000</v>
      </c>
      <c r="J135" s="774">
        <v>39000</v>
      </c>
    </row>
    <row r="136" spans="3:14" ht="13.15" customHeight="1" thickBot="1" x14ac:dyDescent="0.25">
      <c r="C136" s="838" t="s">
        <v>23</v>
      </c>
      <c r="D136" s="875">
        <v>10</v>
      </c>
      <c r="E136" s="875">
        <v>11</v>
      </c>
      <c r="F136" s="875">
        <v>12</v>
      </c>
      <c r="G136" s="875">
        <v>13</v>
      </c>
      <c r="H136" s="874"/>
    </row>
    <row r="137" spans="3:14" ht="13.15" customHeight="1" thickBot="1" x14ac:dyDescent="0.25">
      <c r="C137" s="838" t="s">
        <v>15</v>
      </c>
      <c r="D137" s="837"/>
      <c r="E137" s="836">
        <f t="shared" ref="E137:G139" si="10">E134/D134-1</f>
        <v>0.19999999999999996</v>
      </c>
      <c r="F137" s="836">
        <f t="shared" si="10"/>
        <v>0</v>
      </c>
      <c r="G137" s="836">
        <f t="shared" si="10"/>
        <v>0</v>
      </c>
      <c r="H137" s="835"/>
      <c r="J137" s="839"/>
      <c r="K137" s="839"/>
      <c r="L137" s="839"/>
      <c r="M137" s="839"/>
      <c r="N137" s="839"/>
    </row>
    <row r="138" spans="3:14" ht="13.15" customHeight="1" thickBot="1" x14ac:dyDescent="0.25">
      <c r="C138" s="838" t="s">
        <v>16</v>
      </c>
      <c r="D138" s="837"/>
      <c r="E138" s="836">
        <f t="shared" si="10"/>
        <v>0.42999999999999994</v>
      </c>
      <c r="F138" s="836">
        <f t="shared" si="10"/>
        <v>9.0909090909090828E-2</v>
      </c>
      <c r="G138" s="836">
        <f t="shared" si="10"/>
        <v>8.3333333333333259E-2</v>
      </c>
      <c r="H138" s="835"/>
    </row>
    <row r="139" spans="3:14" ht="13.15" customHeight="1" thickBot="1" x14ac:dyDescent="0.25">
      <c r="C139" s="838" t="s">
        <v>17</v>
      </c>
      <c r="D139" s="837"/>
      <c r="E139" s="836">
        <f t="shared" si="10"/>
        <v>0.10000000000000009</v>
      </c>
      <c r="F139" s="836">
        <f t="shared" si="10"/>
        <v>9.0909090909090828E-2</v>
      </c>
      <c r="G139" s="836">
        <f t="shared" si="10"/>
        <v>8.3333333333333259E-2</v>
      </c>
      <c r="H139" s="835"/>
    </row>
    <row r="140" spans="3:14" ht="13.15" customHeight="1" thickBot="1" x14ac:dyDescent="0.25">
      <c r="C140" s="834" t="s">
        <v>749</v>
      </c>
      <c r="D140" s="833"/>
      <c r="E140" s="833"/>
      <c r="F140" s="833"/>
      <c r="G140" s="832"/>
      <c r="H140" s="831"/>
    </row>
    <row r="141" spans="3:14" ht="13.15" customHeight="1" x14ac:dyDescent="0.2">
      <c r="C141" s="1151"/>
      <c r="D141" s="828">
        <v>2018</v>
      </c>
      <c r="E141" s="828">
        <v>2019</v>
      </c>
      <c r="F141" s="828">
        <v>2020</v>
      </c>
      <c r="G141" s="828">
        <v>2021</v>
      </c>
      <c r="H141" s="826"/>
    </row>
    <row r="142" spans="3:14" ht="13.15" customHeight="1" thickBot="1" x14ac:dyDescent="0.25">
      <c r="C142" s="1152"/>
      <c r="D142" s="827" t="s">
        <v>6</v>
      </c>
      <c r="E142" s="827" t="s">
        <v>7</v>
      </c>
      <c r="F142" s="827" t="s">
        <v>7</v>
      </c>
      <c r="G142" s="827" t="s">
        <v>7</v>
      </c>
      <c r="H142" s="826"/>
    </row>
    <row r="143" spans="3:14" ht="13.15" customHeight="1" thickBot="1" x14ac:dyDescent="0.25">
      <c r="C143" s="809" t="s">
        <v>0</v>
      </c>
      <c r="D143" s="818">
        <v>0</v>
      </c>
      <c r="E143" s="818"/>
      <c r="F143" s="818"/>
      <c r="G143" s="818"/>
      <c r="H143" s="817"/>
    </row>
    <row r="144" spans="3:14" ht="13.15" customHeight="1" thickBot="1" x14ac:dyDescent="0.25">
      <c r="C144" s="809" t="s">
        <v>49</v>
      </c>
      <c r="D144" s="818">
        <v>0</v>
      </c>
      <c r="E144" s="818"/>
      <c r="F144" s="818"/>
      <c r="G144" s="818"/>
      <c r="H144" s="817"/>
    </row>
    <row r="145" spans="3:13" ht="13.15" customHeight="1" thickBot="1" x14ac:dyDescent="0.25">
      <c r="C145" s="809" t="s">
        <v>1</v>
      </c>
      <c r="D145" s="805">
        <f>D135</f>
        <v>30000</v>
      </c>
      <c r="E145" s="805">
        <f>E135</f>
        <v>42900</v>
      </c>
      <c r="F145" s="805">
        <f>F135</f>
        <v>46800</v>
      </c>
      <c r="G145" s="805">
        <f>G135</f>
        <v>50700</v>
      </c>
      <c r="H145" s="816"/>
    </row>
    <row r="146" spans="3:13" ht="13.15" customHeight="1" thickBot="1" x14ac:dyDescent="0.25">
      <c r="C146" s="809" t="s">
        <v>2</v>
      </c>
      <c r="D146" s="805">
        <v>0</v>
      </c>
      <c r="E146" s="818"/>
      <c r="F146" s="818"/>
      <c r="G146" s="818"/>
      <c r="H146" s="817"/>
    </row>
    <row r="147" spans="3:13" ht="13.15" customHeight="1" thickBot="1" x14ac:dyDescent="0.25">
      <c r="C147" s="809" t="s">
        <v>28</v>
      </c>
      <c r="D147" s="805">
        <v>0</v>
      </c>
      <c r="E147" s="818"/>
      <c r="F147" s="818"/>
      <c r="G147" s="818"/>
      <c r="H147" s="817"/>
    </row>
    <row r="148" spans="3:13" ht="13.15" customHeight="1" thickBot="1" x14ac:dyDescent="0.25">
      <c r="C148" s="809" t="s">
        <v>30</v>
      </c>
      <c r="D148" s="805">
        <v>0</v>
      </c>
      <c r="E148" s="818"/>
      <c r="F148" s="818"/>
      <c r="G148" s="818"/>
      <c r="H148" s="817"/>
    </row>
    <row r="149" spans="3:13" ht="13.15" customHeight="1" thickBot="1" x14ac:dyDescent="0.25">
      <c r="C149" s="809" t="s">
        <v>3</v>
      </c>
      <c r="D149" s="794"/>
      <c r="E149" s="794"/>
      <c r="F149" s="794"/>
      <c r="G149" s="794"/>
      <c r="H149" s="793"/>
    </row>
    <row r="150" spans="3:13" ht="13.15" customHeight="1" thickBot="1" x14ac:dyDescent="0.25">
      <c r="C150" s="830" t="s">
        <v>748</v>
      </c>
      <c r="D150" s="805">
        <f>SUM(D143:D149)</f>
        <v>30000</v>
      </c>
      <c r="E150" s="805">
        <f>SUM(E143:E149)</f>
        <v>42900</v>
      </c>
      <c r="F150" s="805">
        <f>SUM(F143:F149)</f>
        <v>46800</v>
      </c>
      <c r="G150" s="805">
        <f>SUM(G143:G149)</f>
        <v>50700</v>
      </c>
      <c r="H150" s="816"/>
    </row>
    <row r="151" spans="3:13" ht="13.15" customHeight="1" thickBot="1" x14ac:dyDescent="0.25">
      <c r="C151" s="802" t="s">
        <v>70</v>
      </c>
      <c r="D151" s="801">
        <f>D135-D150</f>
        <v>0</v>
      </c>
      <c r="E151" s="801">
        <f>E135-E150</f>
        <v>0</v>
      </c>
      <c r="F151" s="801">
        <f>F135-F150</f>
        <v>0</v>
      </c>
      <c r="G151" s="801">
        <f>G135-G150</f>
        <v>0</v>
      </c>
      <c r="H151" s="800"/>
    </row>
    <row r="152" spans="3:13" s="869" customFormat="1" ht="69.75" customHeight="1" thickBot="1" x14ac:dyDescent="0.25">
      <c r="C152" s="871" t="s">
        <v>497</v>
      </c>
      <c r="D152" s="2530" t="s">
        <v>747</v>
      </c>
      <c r="E152" s="2531"/>
      <c r="F152" s="2531"/>
      <c r="G152" s="2532"/>
      <c r="H152" s="848"/>
    </row>
    <row r="153" spans="3:13" ht="13.15" customHeight="1" thickBot="1" x14ac:dyDescent="0.25">
      <c r="C153" s="2543" t="s">
        <v>506</v>
      </c>
      <c r="D153" s="2544"/>
      <c r="E153" s="2544"/>
      <c r="F153" s="2544"/>
      <c r="G153" s="2545"/>
      <c r="H153" s="857"/>
      <c r="K153" s="856"/>
      <c r="M153" s="856"/>
    </row>
    <row r="154" spans="3:13" ht="13.15" customHeight="1" x14ac:dyDescent="0.2">
      <c r="C154" s="858"/>
      <c r="D154" s="858">
        <v>2018</v>
      </c>
      <c r="E154" s="858">
        <v>2019</v>
      </c>
      <c r="F154" s="858">
        <v>2020</v>
      </c>
      <c r="G154" s="858">
        <v>2021</v>
      </c>
      <c r="H154" s="857"/>
      <c r="K154" s="856"/>
      <c r="M154" s="856"/>
    </row>
    <row r="155" spans="3:13" s="1496" customFormat="1" ht="14.45" customHeight="1" thickBot="1" x14ac:dyDescent="0.25">
      <c r="C155" s="1477" t="s">
        <v>746</v>
      </c>
      <c r="D155" s="1491">
        <v>2000</v>
      </c>
      <c r="E155" s="1491">
        <v>2000</v>
      </c>
      <c r="F155" s="1491">
        <v>2000</v>
      </c>
      <c r="G155" s="1491">
        <v>2000</v>
      </c>
      <c r="H155" s="1495"/>
    </row>
    <row r="156" spans="3:13" s="1496" customFormat="1" ht="14.45" customHeight="1" thickBot="1" x14ac:dyDescent="0.25">
      <c r="C156" s="1479" t="s">
        <v>745</v>
      </c>
      <c r="D156" s="1491">
        <v>1000</v>
      </c>
      <c r="E156" s="1491">
        <v>1000</v>
      </c>
      <c r="F156" s="1491">
        <v>1000</v>
      </c>
      <c r="G156" s="1491">
        <v>1000</v>
      </c>
      <c r="H156" s="1495"/>
    </row>
    <row r="157" spans="3:13" s="1496" customFormat="1" ht="14.45" customHeight="1" thickBot="1" x14ac:dyDescent="0.25">
      <c r="C157" s="1479" t="s">
        <v>744</v>
      </c>
      <c r="D157" s="1491">
        <v>200</v>
      </c>
      <c r="E157" s="1491">
        <v>200</v>
      </c>
      <c r="F157" s="1491">
        <v>200</v>
      </c>
      <c r="G157" s="1491">
        <v>200</v>
      </c>
      <c r="H157" s="1495"/>
    </row>
    <row r="158" spans="3:13" s="1496" customFormat="1" ht="14.45" customHeight="1" thickBot="1" x14ac:dyDescent="0.25">
      <c r="C158" s="1479" t="s">
        <v>743</v>
      </c>
      <c r="D158" s="1491">
        <v>40000</v>
      </c>
      <c r="E158" s="1491">
        <v>39000</v>
      </c>
      <c r="F158" s="1491">
        <v>38500</v>
      </c>
      <c r="G158" s="1491">
        <v>38000</v>
      </c>
      <c r="H158" s="1495"/>
    </row>
    <row r="159" spans="3:13" ht="13.15" customHeight="1" thickBot="1" x14ac:dyDescent="0.25">
      <c r="C159" s="2527" t="s">
        <v>536</v>
      </c>
      <c r="D159" s="2528"/>
      <c r="E159" s="2528"/>
      <c r="F159" s="2528"/>
      <c r="G159" s="2529"/>
      <c r="H159" s="851"/>
    </row>
    <row r="160" spans="3:13" ht="13.15" customHeight="1" thickBot="1" x14ac:dyDescent="0.25">
      <c r="C160" s="2527" t="s">
        <v>121</v>
      </c>
      <c r="D160" s="2528"/>
      <c r="E160" s="2528"/>
      <c r="F160" s="2528"/>
      <c r="G160" s="2529"/>
      <c r="H160" s="851"/>
    </row>
    <row r="161" spans="3:14" ht="34.15" customHeight="1" thickBot="1" x14ac:dyDescent="0.25">
      <c r="C161" s="850" t="s">
        <v>659</v>
      </c>
      <c r="D161" s="2546" t="s">
        <v>742</v>
      </c>
      <c r="E161" s="2547"/>
      <c r="F161" s="2547"/>
      <c r="G161" s="2548"/>
      <c r="H161" s="886"/>
    </row>
    <row r="162" spans="3:14" ht="32.450000000000003" customHeight="1" thickBot="1" x14ac:dyDescent="0.25">
      <c r="C162" s="838" t="s">
        <v>10</v>
      </c>
      <c r="D162" s="2546" t="s">
        <v>741</v>
      </c>
      <c r="E162" s="2547"/>
      <c r="F162" s="2547"/>
      <c r="G162" s="2548"/>
      <c r="H162" s="886"/>
    </row>
    <row r="163" spans="3:14" ht="25.9" customHeight="1" thickBot="1" x14ac:dyDescent="0.25">
      <c r="C163" s="838" t="s">
        <v>13</v>
      </c>
      <c r="D163" s="2533" t="s">
        <v>740</v>
      </c>
      <c r="E163" s="2534"/>
      <c r="F163" s="2534"/>
      <c r="G163" s="2535"/>
      <c r="H163" s="847"/>
    </row>
    <row r="164" spans="3:14" ht="13.15" customHeight="1" x14ac:dyDescent="0.2">
      <c r="C164" s="2536"/>
      <c r="D164" s="828">
        <v>2018</v>
      </c>
      <c r="E164" s="828">
        <v>2019</v>
      </c>
      <c r="F164" s="828">
        <v>2020</v>
      </c>
      <c r="G164" s="828">
        <v>2021</v>
      </c>
      <c r="H164" s="826"/>
    </row>
    <row r="165" spans="3:14" ht="13.15" customHeight="1" thickBot="1" x14ac:dyDescent="0.25">
      <c r="C165" s="2537"/>
      <c r="D165" s="827" t="s">
        <v>6</v>
      </c>
      <c r="E165" s="827" t="s">
        <v>7</v>
      </c>
      <c r="F165" s="827" t="s">
        <v>7</v>
      </c>
      <c r="G165" s="827" t="s">
        <v>7</v>
      </c>
      <c r="H165" s="826"/>
    </row>
    <row r="166" spans="3:14" ht="13.15" customHeight="1" thickBot="1" x14ac:dyDescent="0.25">
      <c r="C166" s="838" t="s">
        <v>9</v>
      </c>
      <c r="D166" s="885">
        <v>40000</v>
      </c>
      <c r="E166" s="854">
        <v>39000</v>
      </c>
      <c r="F166" s="854">
        <v>38500</v>
      </c>
      <c r="G166" s="884">
        <v>38000</v>
      </c>
      <c r="H166" s="883"/>
    </row>
    <row r="167" spans="3:14" ht="13.15" customHeight="1" thickBot="1" x14ac:dyDescent="0.25">
      <c r="C167" s="838" t="s">
        <v>14</v>
      </c>
      <c r="D167" s="882">
        <v>97228</v>
      </c>
      <c r="E167" s="842">
        <v>99100</v>
      </c>
      <c r="F167" s="842">
        <v>102400</v>
      </c>
      <c r="G167" s="842">
        <v>104200</v>
      </c>
      <c r="H167" s="863"/>
    </row>
    <row r="168" spans="3:14" ht="13.15" customHeight="1" thickBot="1" x14ac:dyDescent="0.25">
      <c r="C168" s="838" t="s">
        <v>23</v>
      </c>
      <c r="D168" s="882">
        <f>D167/D166</f>
        <v>2.4306999999999999</v>
      </c>
      <c r="E168" s="882">
        <f>E167/E166</f>
        <v>2.5410256410256409</v>
      </c>
      <c r="F168" s="882">
        <f>F167/F166</f>
        <v>2.6597402597402597</v>
      </c>
      <c r="G168" s="882">
        <f>G167/G166</f>
        <v>2.7421052631578946</v>
      </c>
      <c r="H168" s="863"/>
    </row>
    <row r="169" spans="3:14" ht="13.15" customHeight="1" thickBot="1" x14ac:dyDescent="0.25">
      <c r="C169" s="838" t="s">
        <v>15</v>
      </c>
      <c r="D169" s="862"/>
      <c r="E169" s="862">
        <f t="shared" ref="E169:G171" si="11">E166/D166-1</f>
        <v>-2.5000000000000022E-2</v>
      </c>
      <c r="F169" s="862">
        <f t="shared" si="11"/>
        <v>-1.2820512820512775E-2</v>
      </c>
      <c r="G169" s="862">
        <f t="shared" si="11"/>
        <v>-1.2987012987012991E-2</v>
      </c>
      <c r="H169" s="861"/>
      <c r="J169" s="839"/>
      <c r="K169" s="839"/>
      <c r="L169" s="839"/>
      <c r="M169" s="839"/>
      <c r="N169" s="839"/>
    </row>
    <row r="170" spans="3:14" ht="13.15" customHeight="1" thickBot="1" x14ac:dyDescent="0.25">
      <c r="C170" s="838" t="s">
        <v>16</v>
      </c>
      <c r="D170" s="862"/>
      <c r="E170" s="862">
        <f t="shared" si="11"/>
        <v>1.9253712922203459E-2</v>
      </c>
      <c r="F170" s="862">
        <f t="shared" si="11"/>
        <v>3.3299697275479323E-2</v>
      </c>
      <c r="G170" s="862">
        <f t="shared" si="11"/>
        <v>1.7578125E-2</v>
      </c>
      <c r="H170" s="861"/>
    </row>
    <row r="171" spans="3:14" ht="13.15" customHeight="1" thickBot="1" x14ac:dyDescent="0.25">
      <c r="C171" s="838" t="s">
        <v>17</v>
      </c>
      <c r="D171" s="862"/>
      <c r="E171" s="862">
        <f t="shared" si="11"/>
        <v>4.5388423509952203E-2</v>
      </c>
      <c r="F171" s="862">
        <f t="shared" si="11"/>
        <v>4.6719173863472685E-2</v>
      </c>
      <c r="G171" s="862">
        <f t="shared" si="11"/>
        <v>3.0967310855263053E-2</v>
      </c>
      <c r="H171" s="861"/>
    </row>
    <row r="172" spans="3:14" ht="13.15" customHeight="1" thickBot="1" x14ac:dyDescent="0.25">
      <c r="C172" s="2555" t="s">
        <v>707</v>
      </c>
      <c r="D172" s="2556"/>
      <c r="E172" s="2556"/>
      <c r="F172" s="2556"/>
      <c r="G172" s="2557"/>
      <c r="H172" s="829"/>
    </row>
    <row r="173" spans="3:14" ht="13.15" customHeight="1" x14ac:dyDescent="0.2">
      <c r="C173" s="2536"/>
      <c r="D173" s="828">
        <v>2018</v>
      </c>
      <c r="E173" s="828">
        <v>2019</v>
      </c>
      <c r="F173" s="828">
        <v>2020</v>
      </c>
      <c r="G173" s="828">
        <v>2021</v>
      </c>
      <c r="H173" s="826"/>
    </row>
    <row r="174" spans="3:14" ht="13.15" customHeight="1" thickBot="1" x14ac:dyDescent="0.25">
      <c r="C174" s="2537"/>
      <c r="D174" s="827" t="s">
        <v>6</v>
      </c>
      <c r="E174" s="827" t="s">
        <v>7</v>
      </c>
      <c r="F174" s="827" t="s">
        <v>7</v>
      </c>
      <c r="G174" s="827" t="s">
        <v>7</v>
      </c>
      <c r="H174" s="826"/>
    </row>
    <row r="175" spans="3:14" ht="13.15" customHeight="1" thickBot="1" x14ac:dyDescent="0.25">
      <c r="C175" s="809" t="s">
        <v>0</v>
      </c>
      <c r="D175" s="805">
        <v>36000</v>
      </c>
      <c r="E175" s="805">
        <v>36000</v>
      </c>
      <c r="F175" s="805">
        <v>36000</v>
      </c>
      <c r="G175" s="805">
        <v>36000</v>
      </c>
      <c r="H175" s="816"/>
    </row>
    <row r="176" spans="3:14" ht="13.15" customHeight="1" thickBot="1" x14ac:dyDescent="0.25">
      <c r="C176" s="809" t="s">
        <v>49</v>
      </c>
      <c r="D176" s="805">
        <f>D175*0.173</f>
        <v>6227.9999999999991</v>
      </c>
      <c r="E176" s="805">
        <f>E175*0.173</f>
        <v>6227.9999999999991</v>
      </c>
      <c r="F176" s="805">
        <f>F175*0.173</f>
        <v>6227.9999999999991</v>
      </c>
      <c r="G176" s="805">
        <f>G175*0.173</f>
        <v>6227.9999999999991</v>
      </c>
      <c r="H176" s="816"/>
    </row>
    <row r="177" spans="3:13" ht="13.15" customHeight="1" thickBot="1" x14ac:dyDescent="0.25">
      <c r="C177" s="809" t="s">
        <v>1</v>
      </c>
      <c r="D177" s="805">
        <v>55000</v>
      </c>
      <c r="E177" s="805">
        <v>56872</v>
      </c>
      <c r="F177" s="805">
        <v>60172</v>
      </c>
      <c r="G177" s="805">
        <v>61972</v>
      </c>
      <c r="H177" s="816"/>
    </row>
    <row r="178" spans="3:13" ht="13.15" customHeight="1" thickBot="1" x14ac:dyDescent="0.25">
      <c r="C178" s="809" t="s">
        <v>2</v>
      </c>
      <c r="D178" s="805">
        <v>0</v>
      </c>
      <c r="E178" s="818"/>
      <c r="F178" s="818"/>
      <c r="G178" s="818"/>
      <c r="H178" s="817"/>
    </row>
    <row r="179" spans="3:13" ht="13.15" customHeight="1" thickBot="1" x14ac:dyDescent="0.25">
      <c r="C179" s="809" t="s">
        <v>28</v>
      </c>
      <c r="D179" s="805">
        <v>0</v>
      </c>
      <c r="E179" s="818"/>
      <c r="F179" s="818"/>
      <c r="G179" s="818"/>
      <c r="H179" s="817"/>
    </row>
    <row r="180" spans="3:13" ht="13.15" customHeight="1" thickBot="1" x14ac:dyDescent="0.25">
      <c r="C180" s="809" t="s">
        <v>30</v>
      </c>
      <c r="D180" s="805">
        <v>0</v>
      </c>
      <c r="E180" s="818"/>
      <c r="F180" s="818"/>
      <c r="G180" s="818"/>
      <c r="H180" s="817"/>
    </row>
    <row r="181" spans="3:13" ht="13.15" customHeight="1" thickBot="1" x14ac:dyDescent="0.25">
      <c r="C181" s="809" t="s">
        <v>3</v>
      </c>
      <c r="D181" s="794"/>
      <c r="E181" s="794"/>
      <c r="F181" s="794"/>
      <c r="G181" s="794"/>
      <c r="H181" s="793"/>
    </row>
    <row r="182" spans="3:13" ht="13.15" customHeight="1" thickBot="1" x14ac:dyDescent="0.25">
      <c r="C182" s="830" t="s">
        <v>68</v>
      </c>
      <c r="D182" s="805">
        <f>D181+D180+D179+D178+D177+D176+D175</f>
        <v>97228</v>
      </c>
      <c r="E182" s="805">
        <f>E181+E180+E179+E178+E177+E176+E175</f>
        <v>99100</v>
      </c>
      <c r="F182" s="805">
        <f>F181+F180+F179+F178+F177+F176+F175</f>
        <v>102400</v>
      </c>
      <c r="G182" s="805">
        <f>G181+G180+G179+G178+G177+G176+G175</f>
        <v>104200</v>
      </c>
      <c r="H182" s="816"/>
    </row>
    <row r="183" spans="3:13" ht="13.15" customHeight="1" thickBot="1" x14ac:dyDescent="0.25">
      <c r="C183" s="802" t="s">
        <v>70</v>
      </c>
      <c r="D183" s="801">
        <f>D182-D167</f>
        <v>0</v>
      </c>
      <c r="E183" s="801">
        <f>E182-E167</f>
        <v>0</v>
      </c>
      <c r="F183" s="801">
        <f>F182-F167</f>
        <v>0</v>
      </c>
      <c r="G183" s="801">
        <f>G182-G167</f>
        <v>0</v>
      </c>
      <c r="H183" s="800"/>
    </row>
    <row r="184" spans="3:13" s="869" customFormat="1" ht="29.45" customHeight="1" thickBot="1" x14ac:dyDescent="0.25">
      <c r="C184" s="871" t="s">
        <v>512</v>
      </c>
      <c r="D184" s="2530" t="s">
        <v>739</v>
      </c>
      <c r="E184" s="2531"/>
      <c r="F184" s="2531"/>
      <c r="G184" s="2532"/>
      <c r="H184" s="848"/>
    </row>
    <row r="185" spans="3:13" ht="13.15" customHeight="1" x14ac:dyDescent="0.2">
      <c r="C185" s="2549" t="s">
        <v>537</v>
      </c>
      <c r="D185" s="2550"/>
      <c r="E185" s="2550"/>
      <c r="F185" s="2550"/>
      <c r="G185" s="2551"/>
      <c r="H185" s="857"/>
      <c r="K185" s="856"/>
      <c r="M185" s="856"/>
    </row>
    <row r="186" spans="3:13" ht="13.15" customHeight="1" x14ac:dyDescent="0.2">
      <c r="C186" s="858"/>
      <c r="D186" s="881">
        <v>2018</v>
      </c>
      <c r="E186" s="881">
        <v>2019</v>
      </c>
      <c r="F186" s="881">
        <v>2020</v>
      </c>
      <c r="G186" s="881">
        <v>2021</v>
      </c>
      <c r="H186" s="826"/>
      <c r="K186" s="856"/>
      <c r="M186" s="856"/>
    </row>
    <row r="187" spans="3:13" s="1496" customFormat="1" ht="13.15" customHeight="1" thickBot="1" x14ac:dyDescent="0.25">
      <c r="C187" s="1479" t="s">
        <v>738</v>
      </c>
      <c r="D187" s="1499">
        <f>54+D215</f>
        <v>228</v>
      </c>
      <c r="E187" s="1499">
        <f>54+E215</f>
        <v>396</v>
      </c>
      <c r="F187" s="1499">
        <f>54+F215</f>
        <v>396</v>
      </c>
      <c r="G187" s="1499">
        <f>54+G215</f>
        <v>404</v>
      </c>
      <c r="H187" s="1497"/>
    </row>
    <row r="188" spans="3:13" s="1496" customFormat="1" ht="27.75" customHeight="1" thickBot="1" x14ac:dyDescent="0.25">
      <c r="C188" s="1479" t="s">
        <v>737</v>
      </c>
      <c r="D188" s="1491">
        <v>2983</v>
      </c>
      <c r="E188" s="1491">
        <v>3000</v>
      </c>
      <c r="F188" s="1491">
        <v>3050</v>
      </c>
      <c r="G188" s="1491">
        <v>3100</v>
      </c>
      <c r="H188" s="1495"/>
    </row>
    <row r="189" spans="3:13" s="1496" customFormat="1" ht="13.15" customHeight="1" thickBot="1" x14ac:dyDescent="0.25">
      <c r="C189" s="1479" t="s">
        <v>736</v>
      </c>
      <c r="D189" s="1481">
        <f>D187/D188</f>
        <v>7.6433121019108277E-2</v>
      </c>
      <c r="E189" s="1481">
        <f>E187/E188</f>
        <v>0.13200000000000001</v>
      </c>
      <c r="F189" s="1481">
        <f>F187/F188</f>
        <v>0.1298360655737705</v>
      </c>
      <c r="G189" s="1481">
        <f>G187/G188</f>
        <v>0.13032258064516128</v>
      </c>
      <c r="H189" s="1498"/>
    </row>
    <row r="190" spans="3:13" ht="13.15" customHeight="1" thickBot="1" x14ac:dyDescent="0.25">
      <c r="C190" s="2527" t="s">
        <v>535</v>
      </c>
      <c r="D190" s="2528"/>
      <c r="E190" s="2528"/>
      <c r="F190" s="2528"/>
      <c r="G190" s="2529"/>
      <c r="H190" s="851"/>
    </row>
    <row r="191" spans="3:13" ht="13.15" customHeight="1" thickBot="1" x14ac:dyDescent="0.25">
      <c r="C191" s="2552" t="s">
        <v>100</v>
      </c>
      <c r="D191" s="2553"/>
      <c r="E191" s="2553"/>
      <c r="F191" s="2553"/>
      <c r="G191" s="2554"/>
      <c r="H191" s="878"/>
    </row>
    <row r="192" spans="3:13" ht="13.15" customHeight="1" thickBot="1" x14ac:dyDescent="0.25">
      <c r="C192" s="850" t="s">
        <v>648</v>
      </c>
      <c r="D192" s="2530" t="s">
        <v>735</v>
      </c>
      <c r="E192" s="2531"/>
      <c r="F192" s="2531"/>
      <c r="G192" s="2532"/>
      <c r="H192" s="848"/>
    </row>
    <row r="193" spans="3:14" ht="27" customHeight="1" thickBot="1" x14ac:dyDescent="0.25">
      <c r="C193" s="838" t="s">
        <v>10</v>
      </c>
      <c r="D193" s="2530" t="s">
        <v>734</v>
      </c>
      <c r="E193" s="2531"/>
      <c r="F193" s="2531"/>
      <c r="G193" s="2532"/>
      <c r="H193" s="848"/>
      <c r="J193" s="774" t="s">
        <v>732</v>
      </c>
    </row>
    <row r="194" spans="3:14" ht="13.15" customHeight="1" thickBot="1" x14ac:dyDescent="0.25">
      <c r="C194" s="838" t="s">
        <v>13</v>
      </c>
      <c r="D194" s="2533" t="s">
        <v>733</v>
      </c>
      <c r="E194" s="2534"/>
      <c r="F194" s="2534"/>
      <c r="G194" s="2535"/>
      <c r="H194" s="847">
        <f>H197*2</f>
        <v>140</v>
      </c>
      <c r="I194" s="847">
        <f t="shared" ref="I194:J194" si="12">I197*2</f>
        <v>140</v>
      </c>
      <c r="J194" s="847">
        <f t="shared" si="12"/>
        <v>140</v>
      </c>
    </row>
    <row r="195" spans="3:14" ht="13.15" customHeight="1" x14ac:dyDescent="0.2">
      <c r="C195" s="2536"/>
      <c r="D195" s="828">
        <v>2018</v>
      </c>
      <c r="E195" s="828">
        <v>2019</v>
      </c>
      <c r="F195" s="828">
        <v>2020</v>
      </c>
      <c r="G195" s="828">
        <v>2021</v>
      </c>
      <c r="H195" s="847">
        <f>H198*2</f>
        <v>660000</v>
      </c>
      <c r="I195" s="847">
        <f t="shared" ref="I195:J195" si="13">I198*2</f>
        <v>660000</v>
      </c>
      <c r="J195" s="847">
        <f t="shared" si="13"/>
        <v>660000</v>
      </c>
    </row>
    <row r="196" spans="3:14" ht="13.15" customHeight="1" thickBot="1" x14ac:dyDescent="0.25">
      <c r="C196" s="2537"/>
      <c r="D196" s="827" t="s">
        <v>6</v>
      </c>
      <c r="E196" s="827" t="s">
        <v>7</v>
      </c>
      <c r="F196" s="827" t="s">
        <v>7</v>
      </c>
      <c r="G196" s="827" t="s">
        <v>7</v>
      </c>
      <c r="H196" s="826"/>
    </row>
    <row r="197" spans="3:14" ht="13.15" customHeight="1" thickBot="1" x14ac:dyDescent="0.25">
      <c r="C197" s="838" t="s">
        <v>9</v>
      </c>
      <c r="D197" s="865">
        <v>54</v>
      </c>
      <c r="E197" s="865">
        <v>140</v>
      </c>
      <c r="F197" s="865">
        <v>140</v>
      </c>
      <c r="G197" s="865">
        <v>140</v>
      </c>
      <c r="H197" s="864">
        <v>70</v>
      </c>
      <c r="I197" s="774">
        <v>70</v>
      </c>
      <c r="J197" s="774">
        <v>70</v>
      </c>
    </row>
    <row r="198" spans="3:14" ht="13.15" customHeight="1" thickBot="1" x14ac:dyDescent="0.25">
      <c r="C198" s="838" t="s">
        <v>14</v>
      </c>
      <c r="D198" s="842">
        <v>245492</v>
      </c>
      <c r="E198" s="842">
        <v>660000</v>
      </c>
      <c r="F198" s="842">
        <v>660000</v>
      </c>
      <c r="G198" s="842">
        <v>660000</v>
      </c>
      <c r="H198" s="863">
        <v>330000</v>
      </c>
      <c r="I198" s="774">
        <v>330000</v>
      </c>
      <c r="J198" s="774">
        <v>330000</v>
      </c>
    </row>
    <row r="199" spans="3:14" ht="13.15" customHeight="1" thickBot="1" x14ac:dyDescent="0.25">
      <c r="C199" s="838" t="s">
        <v>23</v>
      </c>
      <c r="D199" s="842">
        <f>D198/D197</f>
        <v>4546.1481481481478</v>
      </c>
      <c r="E199" s="842">
        <f t="shared" ref="E199:G199" si="14">E198/E197</f>
        <v>4714.2857142857147</v>
      </c>
      <c r="F199" s="842">
        <f t="shared" si="14"/>
        <v>4714.2857142857147</v>
      </c>
      <c r="G199" s="842">
        <f t="shared" si="14"/>
        <v>4714.2857142857147</v>
      </c>
      <c r="H199" s="863">
        <v>4583.33</v>
      </c>
      <c r="I199" s="774">
        <v>4583.33</v>
      </c>
      <c r="J199" s="774">
        <v>4583.33</v>
      </c>
    </row>
    <row r="200" spans="3:14" ht="13.15" customHeight="1" thickBot="1" x14ac:dyDescent="0.25">
      <c r="C200" s="838" t="s">
        <v>15</v>
      </c>
      <c r="D200" s="862"/>
      <c r="E200" s="862">
        <f t="shared" ref="E200:G202" si="15">E197/D197-1</f>
        <v>1.5925925925925926</v>
      </c>
      <c r="F200" s="862">
        <f t="shared" si="15"/>
        <v>0</v>
      </c>
      <c r="G200" s="862">
        <f t="shared" si="15"/>
        <v>0</v>
      </c>
      <c r="H200" s="861"/>
      <c r="J200" s="839"/>
      <c r="K200" s="839"/>
      <c r="L200" s="839"/>
      <c r="M200" s="839"/>
      <c r="N200" s="839"/>
    </row>
    <row r="201" spans="3:14" ht="13.15" customHeight="1" thickBot="1" x14ac:dyDescent="0.25">
      <c r="C201" s="838" t="s">
        <v>16</v>
      </c>
      <c r="D201" s="862"/>
      <c r="E201" s="862">
        <f t="shared" si="15"/>
        <v>1.688478646962019</v>
      </c>
      <c r="F201" s="862">
        <f t="shared" si="15"/>
        <v>0</v>
      </c>
      <c r="G201" s="862">
        <f t="shared" si="15"/>
        <v>0</v>
      </c>
      <c r="H201" s="861"/>
    </row>
    <row r="202" spans="3:14" ht="13.15" customHeight="1" thickBot="1" x14ac:dyDescent="0.25">
      <c r="C202" s="838" t="s">
        <v>17</v>
      </c>
      <c r="D202" s="862"/>
      <c r="E202" s="862">
        <f t="shared" si="15"/>
        <v>3.6984620971064697E-2</v>
      </c>
      <c r="F202" s="862">
        <f t="shared" si="15"/>
        <v>0</v>
      </c>
      <c r="G202" s="862">
        <f t="shared" si="15"/>
        <v>0</v>
      </c>
      <c r="H202" s="861"/>
    </row>
    <row r="203" spans="3:14" ht="13.15" customHeight="1" thickBot="1" x14ac:dyDescent="0.25">
      <c r="C203" s="2555" t="s">
        <v>707</v>
      </c>
      <c r="D203" s="2556"/>
      <c r="E203" s="2556"/>
      <c r="F203" s="2556"/>
      <c r="G203" s="2557"/>
      <c r="H203" s="829"/>
    </row>
    <row r="204" spans="3:14" ht="13.15" customHeight="1" x14ac:dyDescent="0.2">
      <c r="C204" s="2536"/>
      <c r="D204" s="828">
        <v>2018</v>
      </c>
      <c r="E204" s="828">
        <v>2019</v>
      </c>
      <c r="F204" s="828">
        <v>2020</v>
      </c>
      <c r="G204" s="828">
        <v>2021</v>
      </c>
      <c r="H204" s="826"/>
    </row>
    <row r="205" spans="3:14" ht="13.15" customHeight="1" thickBot="1" x14ac:dyDescent="0.25">
      <c r="C205" s="2537"/>
      <c r="D205" s="827" t="s">
        <v>6</v>
      </c>
      <c r="E205" s="827" t="s">
        <v>7</v>
      </c>
      <c r="F205" s="827" t="s">
        <v>7</v>
      </c>
      <c r="G205" s="827" t="s">
        <v>7</v>
      </c>
      <c r="H205" s="826"/>
    </row>
    <row r="206" spans="3:14" ht="13.15" customHeight="1" thickBot="1" x14ac:dyDescent="0.25">
      <c r="C206" s="809" t="s">
        <v>104</v>
      </c>
      <c r="D206" s="818"/>
      <c r="E206" s="818"/>
      <c r="F206" s="818"/>
      <c r="G206" s="818"/>
      <c r="H206" s="817"/>
    </row>
    <row r="207" spans="3:14" ht="13.15" customHeight="1" thickBot="1" x14ac:dyDescent="0.25">
      <c r="C207" s="809" t="s">
        <v>105</v>
      </c>
      <c r="D207" s="805">
        <f>D198</f>
        <v>245492</v>
      </c>
      <c r="E207" s="805">
        <f>E198</f>
        <v>660000</v>
      </c>
      <c r="F207" s="805">
        <f>F198</f>
        <v>660000</v>
      </c>
      <c r="G207" s="805">
        <f>G198</f>
        <v>660000</v>
      </c>
      <c r="H207" s="816"/>
      <c r="J207" s="774" t="s">
        <v>732</v>
      </c>
    </row>
    <row r="208" spans="3:14" ht="13.15" customHeight="1" thickBot="1" x14ac:dyDescent="0.25">
      <c r="C208" s="830" t="s">
        <v>68</v>
      </c>
      <c r="D208" s="805">
        <f>D207+D206</f>
        <v>245492</v>
      </c>
      <c r="E208" s="805">
        <f>E207+E206</f>
        <v>660000</v>
      </c>
      <c r="F208" s="805">
        <f>F207+F206</f>
        <v>660000</v>
      </c>
      <c r="G208" s="805">
        <f>G207+G206</f>
        <v>660000</v>
      </c>
      <c r="H208" s="816"/>
    </row>
    <row r="209" spans="3:14" ht="13.15" customHeight="1" thickBot="1" x14ac:dyDescent="0.25">
      <c r="C209" s="802" t="s">
        <v>70</v>
      </c>
      <c r="D209" s="801">
        <f>D208-D198</f>
        <v>0</v>
      </c>
      <c r="E209" s="801">
        <f>E208-E198</f>
        <v>0</v>
      </c>
      <c r="F209" s="801">
        <f>F208-F198</f>
        <v>0</v>
      </c>
      <c r="G209" s="801">
        <f>G208-G198</f>
        <v>0</v>
      </c>
      <c r="H209" s="800"/>
    </row>
    <row r="210" spans="3:14" ht="13.15" customHeight="1" thickBot="1" x14ac:dyDescent="0.25">
      <c r="C210" s="850" t="s">
        <v>645</v>
      </c>
      <c r="D210" s="2530" t="s">
        <v>731</v>
      </c>
      <c r="E210" s="2531"/>
      <c r="F210" s="2531"/>
      <c r="G210" s="2532"/>
      <c r="H210" s="848"/>
    </row>
    <row r="211" spans="3:14" ht="20.45" customHeight="1" thickBot="1" x14ac:dyDescent="0.25">
      <c r="C211" s="838" t="s">
        <v>10</v>
      </c>
      <c r="D211" s="2530" t="s">
        <v>730</v>
      </c>
      <c r="E211" s="2531"/>
      <c r="F211" s="2531"/>
      <c r="G211" s="2532"/>
      <c r="H211" s="848"/>
    </row>
    <row r="212" spans="3:14" ht="13.15" customHeight="1" thickBot="1" x14ac:dyDescent="0.25">
      <c r="C212" s="838" t="s">
        <v>13</v>
      </c>
      <c r="D212" s="2533" t="s">
        <v>725</v>
      </c>
      <c r="E212" s="2534"/>
      <c r="F212" s="2534"/>
      <c r="G212" s="2535"/>
      <c r="H212" s="847"/>
    </row>
    <row r="213" spans="3:14" ht="13.15" customHeight="1" x14ac:dyDescent="0.2">
      <c r="C213" s="2536"/>
      <c r="D213" s="828">
        <v>2018</v>
      </c>
      <c r="E213" s="828">
        <v>2019</v>
      </c>
      <c r="F213" s="828">
        <v>2020</v>
      </c>
      <c r="G213" s="828">
        <v>2021</v>
      </c>
      <c r="H213" s="1494">
        <f>H215*1.5</f>
        <v>342</v>
      </c>
      <c r="I213" s="1494">
        <f t="shared" ref="I213" si="16">I215*1.5</f>
        <v>342</v>
      </c>
      <c r="J213" s="1494">
        <f>J215*2</f>
        <v>350</v>
      </c>
    </row>
    <row r="214" spans="3:14" ht="13.15" customHeight="1" thickBot="1" x14ac:dyDescent="0.25">
      <c r="C214" s="2537"/>
      <c r="D214" s="827" t="s">
        <v>6</v>
      </c>
      <c r="E214" s="827" t="s">
        <v>7</v>
      </c>
      <c r="F214" s="827" t="s">
        <v>7</v>
      </c>
      <c r="G214" s="827" t="s">
        <v>7</v>
      </c>
      <c r="H214" s="1494">
        <f>H216*1.5</f>
        <v>1288500</v>
      </c>
      <c r="I214" s="1494">
        <f t="shared" ref="I214" si="17">I216*1.5</f>
        <v>1293000</v>
      </c>
      <c r="J214" s="1494">
        <f>J216*2</f>
        <v>1324000</v>
      </c>
    </row>
    <row r="215" spans="3:14" ht="13.15" customHeight="1" thickBot="1" x14ac:dyDescent="0.25">
      <c r="C215" s="838" t="s">
        <v>9</v>
      </c>
      <c r="D215" s="877">
        <v>174</v>
      </c>
      <c r="E215" s="877">
        <v>342</v>
      </c>
      <c r="F215" s="877">
        <v>342</v>
      </c>
      <c r="G215" s="877">
        <v>350</v>
      </c>
      <c r="H215" s="877">
        <v>228</v>
      </c>
      <c r="I215" s="877">
        <v>228</v>
      </c>
      <c r="J215" s="877">
        <v>175</v>
      </c>
    </row>
    <row r="216" spans="3:14" ht="13.15" customHeight="1" thickBot="1" x14ac:dyDescent="0.25">
      <c r="C216" s="838" t="s">
        <v>14</v>
      </c>
      <c r="D216" s="877">
        <v>646622.76</v>
      </c>
      <c r="E216" s="877">
        <v>1288500</v>
      </c>
      <c r="F216" s="877">
        <v>1293000</v>
      </c>
      <c r="G216" s="877">
        <v>1324000</v>
      </c>
      <c r="H216" s="877">
        <v>859000</v>
      </c>
      <c r="I216" s="877">
        <v>862000</v>
      </c>
      <c r="J216" s="877">
        <v>662000</v>
      </c>
    </row>
    <row r="217" spans="3:14" ht="13.15" customHeight="1" thickBot="1" x14ac:dyDescent="0.25">
      <c r="C217" s="838" t="s">
        <v>23</v>
      </c>
      <c r="D217" s="877">
        <f>D216/D215</f>
        <v>3716.2227586206895</v>
      </c>
      <c r="E217" s="877">
        <f>E216/E215</f>
        <v>3767.5438596491226</v>
      </c>
      <c r="F217" s="877">
        <f>F216/F215</f>
        <v>3780.7017543859647</v>
      </c>
      <c r="G217" s="877">
        <f>G216/G215</f>
        <v>3782.8571428571427</v>
      </c>
      <c r="H217" s="876"/>
    </row>
    <row r="218" spans="3:14" ht="13.15" customHeight="1" thickBot="1" x14ac:dyDescent="0.25">
      <c r="C218" s="838" t="s">
        <v>15</v>
      </c>
      <c r="D218" s="862"/>
      <c r="E218" s="862">
        <f t="shared" ref="E218:G220" si="18">E215/D215-1</f>
        <v>0.96551724137931028</v>
      </c>
      <c r="F218" s="862">
        <f t="shared" si="18"/>
        <v>0</v>
      </c>
      <c r="G218" s="862">
        <f t="shared" si="18"/>
        <v>2.3391812865497075E-2</v>
      </c>
      <c r="H218" s="861"/>
      <c r="J218" s="839"/>
      <c r="K218" s="839"/>
      <c r="L218" s="839"/>
      <c r="M218" s="839"/>
      <c r="N218" s="839"/>
    </row>
    <row r="219" spans="3:14" ht="13.15" customHeight="1" thickBot="1" x14ac:dyDescent="0.25">
      <c r="C219" s="838" t="s">
        <v>16</v>
      </c>
      <c r="D219" s="862"/>
      <c r="E219" s="862">
        <f t="shared" si="18"/>
        <v>0.99266106871957294</v>
      </c>
      <c r="F219" s="862">
        <f t="shared" si="18"/>
        <v>3.4924330616996624E-3</v>
      </c>
      <c r="G219" s="862">
        <f t="shared" si="18"/>
        <v>2.3975251353441696E-2</v>
      </c>
      <c r="H219" s="861"/>
    </row>
    <row r="220" spans="3:14" ht="13.15" customHeight="1" thickBot="1" x14ac:dyDescent="0.25">
      <c r="C220" s="838" t="s">
        <v>17</v>
      </c>
      <c r="D220" s="862"/>
      <c r="E220" s="862">
        <f t="shared" si="18"/>
        <v>1.3810017418730114E-2</v>
      </c>
      <c r="F220" s="862">
        <f t="shared" si="18"/>
        <v>3.4924330616996624E-3</v>
      </c>
      <c r="G220" s="862">
        <f t="shared" si="18"/>
        <v>5.7010275107716168E-4</v>
      </c>
      <c r="H220" s="861"/>
    </row>
    <row r="221" spans="3:14" ht="13.15" customHeight="1" thickBot="1" x14ac:dyDescent="0.25">
      <c r="C221" s="2555" t="s">
        <v>729</v>
      </c>
      <c r="D221" s="2556"/>
      <c r="E221" s="2556"/>
      <c r="F221" s="2556"/>
      <c r="G221" s="2557"/>
      <c r="H221" s="829"/>
    </row>
    <row r="222" spans="3:14" ht="13.15" customHeight="1" x14ac:dyDescent="0.2">
      <c r="C222" s="2536"/>
      <c r="D222" s="828">
        <v>2018</v>
      </c>
      <c r="E222" s="828">
        <v>2019</v>
      </c>
      <c r="F222" s="828">
        <v>2020</v>
      </c>
      <c r="G222" s="828">
        <v>2021</v>
      </c>
      <c r="H222" s="826"/>
    </row>
    <row r="223" spans="3:14" ht="13.15" customHeight="1" thickBot="1" x14ac:dyDescent="0.25">
      <c r="C223" s="2537"/>
      <c r="D223" s="827" t="s">
        <v>6</v>
      </c>
      <c r="E223" s="827" t="s">
        <v>7</v>
      </c>
      <c r="F223" s="827" t="s">
        <v>7</v>
      </c>
      <c r="G223" s="827" t="s">
        <v>7</v>
      </c>
      <c r="H223" s="826"/>
    </row>
    <row r="224" spans="3:14" ht="13.15" customHeight="1" thickBot="1" x14ac:dyDescent="0.25">
      <c r="C224" s="809" t="s">
        <v>104</v>
      </c>
      <c r="D224" s="818"/>
      <c r="E224" s="818"/>
      <c r="F224" s="818"/>
      <c r="G224" s="818"/>
      <c r="H224" s="817"/>
    </row>
    <row r="225" spans="3:14" ht="13.15" customHeight="1" thickBot="1" x14ac:dyDescent="0.25">
      <c r="C225" s="809" t="s">
        <v>105</v>
      </c>
      <c r="D225" s="805">
        <f>D216</f>
        <v>646622.76</v>
      </c>
      <c r="E225" s="805">
        <f>E216</f>
        <v>1288500</v>
      </c>
      <c r="F225" s="805">
        <f>F216</f>
        <v>1293000</v>
      </c>
      <c r="G225" s="805">
        <f>G216</f>
        <v>1324000</v>
      </c>
      <c r="H225" s="816"/>
    </row>
    <row r="226" spans="3:14" ht="13.15" customHeight="1" thickBot="1" x14ac:dyDescent="0.25">
      <c r="C226" s="830" t="s">
        <v>68</v>
      </c>
      <c r="D226" s="805">
        <f>D225+D224</f>
        <v>646622.76</v>
      </c>
      <c r="E226" s="805">
        <f>E225+E224</f>
        <v>1288500</v>
      </c>
      <c r="F226" s="805">
        <f>F225+F224</f>
        <v>1293000</v>
      </c>
      <c r="G226" s="805">
        <f>G225+G224</f>
        <v>1324000</v>
      </c>
      <c r="H226" s="816"/>
    </row>
    <row r="227" spans="3:14" ht="13.15" customHeight="1" thickBot="1" x14ac:dyDescent="0.25">
      <c r="C227" s="802" t="s">
        <v>70</v>
      </c>
      <c r="D227" s="801">
        <f>D226-D216</f>
        <v>0</v>
      </c>
      <c r="E227" s="801">
        <f>E226-E216</f>
        <v>0</v>
      </c>
      <c r="F227" s="801">
        <f>F226-F216</f>
        <v>0</v>
      </c>
      <c r="G227" s="801">
        <f>G226-G216</f>
        <v>0</v>
      </c>
      <c r="H227" s="800"/>
    </row>
    <row r="228" spans="3:14" ht="17.45" customHeight="1" thickBot="1" x14ac:dyDescent="0.25">
      <c r="C228" s="850" t="s">
        <v>728</v>
      </c>
      <c r="D228" s="2530" t="s">
        <v>1045</v>
      </c>
      <c r="E228" s="2531"/>
      <c r="F228" s="2531"/>
      <c r="G228" s="2532"/>
      <c r="H228" s="848"/>
    </row>
    <row r="229" spans="3:14" ht="26.45" customHeight="1" thickBot="1" x14ac:dyDescent="0.25">
      <c r="C229" s="838" t="s">
        <v>10</v>
      </c>
      <c r="D229" s="2530" t="s">
        <v>726</v>
      </c>
      <c r="E229" s="2531"/>
      <c r="F229" s="2531"/>
      <c r="G229" s="2532"/>
      <c r="H229" s="848"/>
    </row>
    <row r="230" spans="3:14" ht="13.15" customHeight="1" thickBot="1" x14ac:dyDescent="0.25">
      <c r="C230" s="838" t="s">
        <v>13</v>
      </c>
      <c r="D230" s="2533" t="s">
        <v>725</v>
      </c>
      <c r="E230" s="2534"/>
      <c r="F230" s="2534"/>
      <c r="G230" s="2535"/>
      <c r="H230" s="1500">
        <f>H197+H213</f>
        <v>412</v>
      </c>
      <c r="I230" s="1500">
        <f t="shared" ref="I230:J230" si="19">I197+I213</f>
        <v>412</v>
      </c>
      <c r="J230" s="1500">
        <f t="shared" si="19"/>
        <v>420</v>
      </c>
    </row>
    <row r="231" spans="3:14" ht="13.15" customHeight="1" x14ac:dyDescent="0.2">
      <c r="C231" s="2536"/>
      <c r="D231" s="828">
        <v>2018</v>
      </c>
      <c r="E231" s="828">
        <v>2019</v>
      </c>
      <c r="F231" s="828">
        <v>2020</v>
      </c>
      <c r="G231" s="828">
        <v>2021</v>
      </c>
      <c r="H231" s="1494">
        <f>H230*400</f>
        <v>164800</v>
      </c>
      <c r="I231" s="1494">
        <f t="shared" ref="I231:J231" si="20">I230*400</f>
        <v>164800</v>
      </c>
      <c r="J231" s="1494">
        <f t="shared" si="20"/>
        <v>168000</v>
      </c>
    </row>
    <row r="232" spans="3:14" ht="13.15" customHeight="1" thickBot="1" x14ac:dyDescent="0.25">
      <c r="C232" s="2537"/>
      <c r="D232" s="827" t="s">
        <v>6</v>
      </c>
      <c r="E232" s="827" t="s">
        <v>7</v>
      </c>
      <c r="F232" s="827" t="s">
        <v>7</v>
      </c>
      <c r="G232" s="827" t="s">
        <v>7</v>
      </c>
      <c r="H232" s="826">
        <f>H231/H230</f>
        <v>400</v>
      </c>
    </row>
    <row r="233" spans="3:14" ht="13.15" customHeight="1" thickBot="1" x14ac:dyDescent="0.25">
      <c r="C233" s="838" t="s">
        <v>9</v>
      </c>
      <c r="D233" s="865">
        <v>200</v>
      </c>
      <c r="E233" s="865">
        <v>412</v>
      </c>
      <c r="F233" s="865">
        <v>412</v>
      </c>
      <c r="G233" s="865">
        <v>420</v>
      </c>
      <c r="H233" s="865">
        <v>110</v>
      </c>
      <c r="I233" s="865">
        <v>100</v>
      </c>
      <c r="J233" s="865">
        <v>100</v>
      </c>
    </row>
    <row r="234" spans="3:14" ht="13.15" customHeight="1" thickBot="1" x14ac:dyDescent="0.25">
      <c r="C234" s="838" t="s">
        <v>14</v>
      </c>
      <c r="D234" s="842">
        <v>60000</v>
      </c>
      <c r="E234" s="842">
        <v>164800</v>
      </c>
      <c r="F234" s="842">
        <v>164800</v>
      </c>
      <c r="G234" s="842">
        <v>168000</v>
      </c>
      <c r="H234" s="842">
        <v>33000</v>
      </c>
      <c r="I234" s="842">
        <v>30000</v>
      </c>
      <c r="J234" s="842">
        <v>30000</v>
      </c>
    </row>
    <row r="235" spans="3:14" ht="13.15" customHeight="1" thickBot="1" x14ac:dyDescent="0.25">
      <c r="C235" s="838" t="s">
        <v>23</v>
      </c>
      <c r="D235" s="875">
        <f>D234/D233</f>
        <v>300</v>
      </c>
      <c r="E235" s="875">
        <f>E234/E233</f>
        <v>400</v>
      </c>
      <c r="F235" s="875">
        <f>F234/F233</f>
        <v>400</v>
      </c>
      <c r="G235" s="875">
        <f>G234/G233</f>
        <v>400</v>
      </c>
      <c r="H235" s="874"/>
    </row>
    <row r="236" spans="3:14" ht="13.15" customHeight="1" thickBot="1" x14ac:dyDescent="0.25">
      <c r="C236" s="838" t="s">
        <v>15</v>
      </c>
      <c r="D236" s="862"/>
      <c r="E236" s="862">
        <f t="shared" ref="E236:G238" si="21">E233/D233-1</f>
        <v>1.06</v>
      </c>
      <c r="F236" s="862">
        <f t="shared" si="21"/>
        <v>0</v>
      </c>
      <c r="G236" s="862">
        <f t="shared" si="21"/>
        <v>1.9417475728155331E-2</v>
      </c>
      <c r="H236" s="861"/>
      <c r="J236" s="839"/>
      <c r="K236" s="839"/>
      <c r="L236" s="839"/>
      <c r="M236" s="839"/>
      <c r="N236" s="839"/>
    </row>
    <row r="237" spans="3:14" ht="13.15" customHeight="1" thickBot="1" x14ac:dyDescent="0.25">
      <c r="C237" s="838" t="s">
        <v>16</v>
      </c>
      <c r="D237" s="862"/>
      <c r="E237" s="862">
        <f t="shared" si="21"/>
        <v>1.7466666666666666</v>
      </c>
      <c r="F237" s="862">
        <f t="shared" si="21"/>
        <v>0</v>
      </c>
      <c r="G237" s="862">
        <f t="shared" si="21"/>
        <v>1.9417475728155331E-2</v>
      </c>
      <c r="H237" s="861"/>
    </row>
    <row r="238" spans="3:14" ht="13.15" customHeight="1" thickBot="1" x14ac:dyDescent="0.25">
      <c r="C238" s="838" t="s">
        <v>17</v>
      </c>
      <c r="D238" s="862"/>
      <c r="E238" s="862">
        <f t="shared" si="21"/>
        <v>0.33333333333333326</v>
      </c>
      <c r="F238" s="862">
        <f t="shared" si="21"/>
        <v>0</v>
      </c>
      <c r="G238" s="862">
        <f t="shared" si="21"/>
        <v>0</v>
      </c>
      <c r="H238" s="861"/>
    </row>
    <row r="239" spans="3:14" ht="13.15" customHeight="1" thickBot="1" x14ac:dyDescent="0.25">
      <c r="C239" s="2555" t="s">
        <v>724</v>
      </c>
      <c r="D239" s="2556"/>
      <c r="E239" s="2556"/>
      <c r="F239" s="2556"/>
      <c r="G239" s="2557"/>
      <c r="H239" s="829"/>
    </row>
    <row r="240" spans="3:14" ht="13.15" customHeight="1" x14ac:dyDescent="0.2">
      <c r="C240" s="2536"/>
      <c r="D240" s="828">
        <v>2018</v>
      </c>
      <c r="E240" s="828">
        <v>2019</v>
      </c>
      <c r="F240" s="828">
        <v>2020</v>
      </c>
      <c r="G240" s="828">
        <v>2021</v>
      </c>
      <c r="H240" s="826"/>
    </row>
    <row r="241" spans="3:13" ht="13.15" customHeight="1" thickBot="1" x14ac:dyDescent="0.25">
      <c r="C241" s="2537"/>
      <c r="D241" s="827" t="s">
        <v>6</v>
      </c>
      <c r="E241" s="827" t="s">
        <v>7</v>
      </c>
      <c r="F241" s="827" t="s">
        <v>7</v>
      </c>
      <c r="G241" s="827" t="s">
        <v>7</v>
      </c>
      <c r="H241" s="826"/>
    </row>
    <row r="242" spans="3:13" ht="13.15" customHeight="1" thickBot="1" x14ac:dyDescent="0.25">
      <c r="C242" s="809" t="s">
        <v>104</v>
      </c>
      <c r="D242" s="818"/>
      <c r="E242" s="818"/>
      <c r="F242" s="818"/>
      <c r="G242" s="818"/>
      <c r="H242" s="817"/>
    </row>
    <row r="243" spans="3:13" ht="13.15" customHeight="1" thickBot="1" x14ac:dyDescent="0.25">
      <c r="C243" s="809" t="s">
        <v>105</v>
      </c>
      <c r="D243" s="805">
        <f>D234</f>
        <v>60000</v>
      </c>
      <c r="E243" s="805">
        <f>E234</f>
        <v>164800</v>
      </c>
      <c r="F243" s="805">
        <f>F234</f>
        <v>164800</v>
      </c>
      <c r="G243" s="805">
        <f>G234</f>
        <v>168000</v>
      </c>
      <c r="H243" s="816"/>
    </row>
    <row r="244" spans="3:13" ht="13.15" customHeight="1" thickBot="1" x14ac:dyDescent="0.25">
      <c r="C244" s="830" t="s">
        <v>68</v>
      </c>
      <c r="D244" s="805">
        <f>D243+D242</f>
        <v>60000</v>
      </c>
      <c r="E244" s="805">
        <f>E243+E242</f>
        <v>164800</v>
      </c>
      <c r="F244" s="805">
        <f>F243+F242</f>
        <v>164800</v>
      </c>
      <c r="G244" s="805">
        <f>G243+G242</f>
        <v>168000</v>
      </c>
      <c r="H244" s="816"/>
    </row>
    <row r="245" spans="3:13" ht="13.15" customHeight="1" thickBot="1" x14ac:dyDescent="0.25">
      <c r="C245" s="802" t="s">
        <v>70</v>
      </c>
      <c r="D245" s="801">
        <f>D244-D234</f>
        <v>0</v>
      </c>
      <c r="E245" s="801">
        <f>E244-E234</f>
        <v>0</v>
      </c>
      <c r="F245" s="801">
        <f>F244-F234</f>
        <v>0</v>
      </c>
      <c r="G245" s="801">
        <f>G244-G234</f>
        <v>0</v>
      </c>
      <c r="H245" s="800"/>
    </row>
    <row r="246" spans="3:13" s="869" customFormat="1" ht="24" customHeight="1" thickBot="1" x14ac:dyDescent="0.25">
      <c r="C246" s="871" t="s">
        <v>639</v>
      </c>
      <c r="D246" s="2530" t="s">
        <v>723</v>
      </c>
      <c r="E246" s="2531"/>
      <c r="F246" s="2531"/>
      <c r="G246" s="2532"/>
      <c r="H246" s="848"/>
    </row>
    <row r="247" spans="3:13" ht="13.15" customHeight="1" thickBot="1" x14ac:dyDescent="0.25">
      <c r="C247" s="2543" t="s">
        <v>637</v>
      </c>
      <c r="D247" s="2544"/>
      <c r="E247" s="2544"/>
      <c r="F247" s="2544"/>
      <c r="G247" s="2545"/>
      <c r="H247" s="857"/>
      <c r="K247" s="856"/>
      <c r="M247" s="856"/>
    </row>
    <row r="248" spans="3:13" ht="13.15" customHeight="1" x14ac:dyDescent="0.2">
      <c r="C248" s="858"/>
      <c r="D248" s="858">
        <v>2018</v>
      </c>
      <c r="E248" s="858">
        <v>2019</v>
      </c>
      <c r="F248" s="858">
        <v>2020</v>
      </c>
      <c r="G248" s="858">
        <v>2021</v>
      </c>
      <c r="H248" s="857"/>
      <c r="K248" s="856"/>
      <c r="M248" s="856"/>
    </row>
    <row r="249" spans="3:13" ht="13.15" customHeight="1" thickBot="1" x14ac:dyDescent="0.25">
      <c r="C249" s="868" t="s">
        <v>722</v>
      </c>
      <c r="D249" s="867">
        <v>40</v>
      </c>
      <c r="E249" s="867">
        <v>40</v>
      </c>
      <c r="F249" s="867">
        <v>40</v>
      </c>
      <c r="G249" s="867">
        <v>40</v>
      </c>
      <c r="H249" s="866"/>
    </row>
    <row r="250" spans="3:13" ht="13.15" customHeight="1" thickBot="1" x14ac:dyDescent="0.25">
      <c r="C250" s="838" t="s">
        <v>721</v>
      </c>
      <c r="D250" s="873">
        <v>0.06</v>
      </c>
      <c r="E250" s="873">
        <v>7.0000000000000007E-2</v>
      </c>
      <c r="F250" s="873">
        <v>7.0000000000000007E-2</v>
      </c>
      <c r="G250" s="873">
        <v>0.08</v>
      </c>
      <c r="H250" s="872"/>
    </row>
    <row r="251" spans="3:13" ht="13.15" customHeight="1" thickBot="1" x14ac:dyDescent="0.25">
      <c r="C251" s="2527" t="s">
        <v>630</v>
      </c>
      <c r="D251" s="2528"/>
      <c r="E251" s="2528"/>
      <c r="F251" s="2528"/>
      <c r="G251" s="2529"/>
      <c r="H251" s="851"/>
    </row>
    <row r="252" spans="3:13" ht="13.15" customHeight="1" thickBot="1" x14ac:dyDescent="0.25">
      <c r="C252" s="2527" t="s">
        <v>100</v>
      </c>
      <c r="D252" s="2528"/>
      <c r="E252" s="2528"/>
      <c r="F252" s="2528"/>
      <c r="G252" s="2529"/>
      <c r="H252" s="851"/>
    </row>
    <row r="253" spans="3:13" ht="13.15" customHeight="1" thickBot="1" x14ac:dyDescent="0.25">
      <c r="C253" s="850" t="s">
        <v>629</v>
      </c>
      <c r="D253" s="2530" t="s">
        <v>720</v>
      </c>
      <c r="E253" s="2531"/>
      <c r="F253" s="2531"/>
      <c r="G253" s="2532"/>
      <c r="H253" s="848"/>
    </row>
    <row r="254" spans="3:13" ht="29.25" customHeight="1" thickBot="1" x14ac:dyDescent="0.25">
      <c r="C254" s="838" t="s">
        <v>10</v>
      </c>
      <c r="D254" s="2530" t="s">
        <v>719</v>
      </c>
      <c r="E254" s="2531"/>
      <c r="F254" s="2531"/>
      <c r="G254" s="2532"/>
      <c r="H254" s="848"/>
    </row>
    <row r="255" spans="3:13" ht="27.75" customHeight="1" thickBot="1" x14ac:dyDescent="0.25">
      <c r="C255" s="838" t="s">
        <v>13</v>
      </c>
      <c r="D255" s="2543" t="s">
        <v>718</v>
      </c>
      <c r="E255" s="2544"/>
      <c r="F255" s="2544"/>
      <c r="G255" s="2545"/>
      <c r="H255" s="857"/>
    </row>
    <row r="256" spans="3:13" ht="13.15" customHeight="1" x14ac:dyDescent="0.2">
      <c r="C256" s="2536"/>
      <c r="D256" s="828">
        <v>2018</v>
      </c>
      <c r="E256" s="828">
        <v>2019</v>
      </c>
      <c r="F256" s="828">
        <v>2020</v>
      </c>
      <c r="G256" s="828">
        <v>2021</v>
      </c>
      <c r="H256" s="826"/>
    </row>
    <row r="257" spans="3:14" ht="13.15" customHeight="1" thickBot="1" x14ac:dyDescent="0.25">
      <c r="C257" s="2537"/>
      <c r="D257" s="827" t="s">
        <v>6</v>
      </c>
      <c r="E257" s="827" t="s">
        <v>7</v>
      </c>
      <c r="F257" s="827" t="s">
        <v>7</v>
      </c>
      <c r="G257" s="827" t="s">
        <v>7</v>
      </c>
      <c r="H257" s="826"/>
    </row>
    <row r="258" spans="3:14" ht="13.15" customHeight="1" thickBot="1" x14ac:dyDescent="0.25">
      <c r="C258" s="838" t="s">
        <v>9</v>
      </c>
      <c r="D258" s="865">
        <v>40</v>
      </c>
      <c r="E258" s="865">
        <v>40</v>
      </c>
      <c r="F258" s="865">
        <v>40</v>
      </c>
      <c r="G258" s="865">
        <v>40</v>
      </c>
      <c r="H258" s="864"/>
    </row>
    <row r="259" spans="3:14" ht="13.15" customHeight="1" thickBot="1" x14ac:dyDescent="0.25">
      <c r="C259" s="838" t="s">
        <v>14</v>
      </c>
      <c r="D259" s="842">
        <v>30000</v>
      </c>
      <c r="E259" s="842">
        <v>30000</v>
      </c>
      <c r="F259" s="842">
        <v>30000</v>
      </c>
      <c r="G259" s="842">
        <v>30000</v>
      </c>
      <c r="H259" s="863"/>
    </row>
    <row r="260" spans="3:14" ht="13.15" customHeight="1" thickBot="1" x14ac:dyDescent="0.25">
      <c r="C260" s="838" t="s">
        <v>23</v>
      </c>
      <c r="D260" s="842">
        <f>D259/D258</f>
        <v>750</v>
      </c>
      <c r="E260" s="842">
        <f>E259/E258</f>
        <v>750</v>
      </c>
      <c r="F260" s="842">
        <f>F259/F258</f>
        <v>750</v>
      </c>
      <c r="G260" s="842">
        <f>G259/G258</f>
        <v>750</v>
      </c>
      <c r="H260" s="863"/>
    </row>
    <row r="261" spans="3:14" ht="13.15" customHeight="1" thickBot="1" x14ac:dyDescent="0.25">
      <c r="C261" s="838" t="s">
        <v>15</v>
      </c>
      <c r="D261" s="862"/>
      <c r="E261" s="862">
        <f t="shared" ref="E261:G263" si="22">E258/D258-1</f>
        <v>0</v>
      </c>
      <c r="F261" s="862">
        <f t="shared" si="22"/>
        <v>0</v>
      </c>
      <c r="G261" s="862">
        <f t="shared" si="22"/>
        <v>0</v>
      </c>
      <c r="H261" s="861"/>
      <c r="M261" s="839"/>
      <c r="N261" s="839"/>
    </row>
    <row r="262" spans="3:14" ht="13.15" customHeight="1" thickBot="1" x14ac:dyDescent="0.25">
      <c r="C262" s="838" t="s">
        <v>16</v>
      </c>
      <c r="D262" s="862"/>
      <c r="E262" s="862">
        <f t="shared" si="22"/>
        <v>0</v>
      </c>
      <c r="F262" s="862">
        <f t="shared" si="22"/>
        <v>0</v>
      </c>
      <c r="G262" s="862">
        <f t="shared" si="22"/>
        <v>0</v>
      </c>
      <c r="H262" s="861"/>
    </row>
    <row r="263" spans="3:14" ht="13.15" customHeight="1" thickBot="1" x14ac:dyDescent="0.25">
      <c r="C263" s="838" t="s">
        <v>17</v>
      </c>
      <c r="D263" s="862"/>
      <c r="E263" s="862">
        <f t="shared" si="22"/>
        <v>0</v>
      </c>
      <c r="F263" s="862">
        <f t="shared" si="22"/>
        <v>0</v>
      </c>
      <c r="G263" s="862">
        <f t="shared" si="22"/>
        <v>0</v>
      </c>
      <c r="H263" s="861"/>
    </row>
    <row r="264" spans="3:14" ht="13.15" customHeight="1" thickBot="1" x14ac:dyDescent="0.25">
      <c r="C264" s="2555" t="s">
        <v>707</v>
      </c>
      <c r="D264" s="2556"/>
      <c r="E264" s="2556"/>
      <c r="F264" s="2556"/>
      <c r="G264" s="2557"/>
      <c r="H264" s="829"/>
    </row>
    <row r="265" spans="3:14" ht="13.15" customHeight="1" x14ac:dyDescent="0.2">
      <c r="C265" s="2536"/>
      <c r="D265" s="828">
        <v>2018</v>
      </c>
      <c r="E265" s="828">
        <v>2019</v>
      </c>
      <c r="F265" s="828">
        <v>2020</v>
      </c>
      <c r="G265" s="828">
        <v>2021</v>
      </c>
      <c r="H265" s="826"/>
    </row>
    <row r="266" spans="3:14" ht="13.15" customHeight="1" thickBot="1" x14ac:dyDescent="0.25">
      <c r="C266" s="2537"/>
      <c r="D266" s="827" t="s">
        <v>6</v>
      </c>
      <c r="E266" s="827" t="s">
        <v>7</v>
      </c>
      <c r="F266" s="827" t="s">
        <v>7</v>
      </c>
      <c r="G266" s="827" t="s">
        <v>7</v>
      </c>
      <c r="H266" s="826"/>
    </row>
    <row r="267" spans="3:14" ht="13.15" customHeight="1" thickBot="1" x14ac:dyDescent="0.25">
      <c r="C267" s="809" t="s">
        <v>104</v>
      </c>
      <c r="D267" s="818"/>
      <c r="E267" s="818"/>
      <c r="F267" s="818"/>
      <c r="G267" s="818"/>
      <c r="H267" s="817"/>
    </row>
    <row r="268" spans="3:14" ht="13.15" customHeight="1" thickBot="1" x14ac:dyDescent="0.25">
      <c r="C268" s="809" t="s">
        <v>105</v>
      </c>
      <c r="D268" s="805">
        <f>D259</f>
        <v>30000</v>
      </c>
      <c r="E268" s="805">
        <f>E259</f>
        <v>30000</v>
      </c>
      <c r="F268" s="805">
        <f>F259</f>
        <v>30000</v>
      </c>
      <c r="G268" s="805">
        <f>G259</f>
        <v>30000</v>
      </c>
      <c r="H268" s="816"/>
    </row>
    <row r="269" spans="3:14" ht="13.15" customHeight="1" thickBot="1" x14ac:dyDescent="0.25">
      <c r="C269" s="830" t="s">
        <v>68</v>
      </c>
      <c r="D269" s="805">
        <f>D268+D267</f>
        <v>30000</v>
      </c>
      <c r="E269" s="805">
        <f>E268+E267</f>
        <v>30000</v>
      </c>
      <c r="F269" s="805">
        <f>F268+F267</f>
        <v>30000</v>
      </c>
      <c r="G269" s="805">
        <f>G268+G267</f>
        <v>30000</v>
      </c>
      <c r="H269" s="816"/>
    </row>
    <row r="270" spans="3:14" ht="13.15" customHeight="1" thickBot="1" x14ac:dyDescent="0.25">
      <c r="C270" s="802" t="s">
        <v>70</v>
      </c>
      <c r="D270" s="801">
        <f>D269-D259</f>
        <v>0</v>
      </c>
      <c r="E270" s="801">
        <f>E269-E259</f>
        <v>0</v>
      </c>
      <c r="F270" s="801">
        <f>F269-F259</f>
        <v>0</v>
      </c>
      <c r="G270" s="801">
        <f>G269-G259</f>
        <v>0</v>
      </c>
      <c r="H270" s="800"/>
    </row>
    <row r="271" spans="3:14" s="869" customFormat="1" ht="26.45" customHeight="1" thickBot="1" x14ac:dyDescent="0.25">
      <c r="C271" s="871" t="s">
        <v>625</v>
      </c>
      <c r="D271" s="2558" t="s">
        <v>717</v>
      </c>
      <c r="E271" s="2559"/>
      <c r="F271" s="2559"/>
      <c r="G271" s="2560"/>
      <c r="H271" s="870"/>
    </row>
    <row r="272" spans="3:14" ht="13.15" customHeight="1" thickBot="1" x14ac:dyDescent="0.25">
      <c r="C272" s="2543" t="s">
        <v>623</v>
      </c>
      <c r="D272" s="2544"/>
      <c r="E272" s="2544"/>
      <c r="F272" s="2544"/>
      <c r="G272" s="2545"/>
      <c r="H272" s="857"/>
      <c r="K272" s="856"/>
      <c r="M272" s="856"/>
    </row>
    <row r="273" spans="3:14" ht="13.15" customHeight="1" x14ac:dyDescent="0.2">
      <c r="C273" s="858"/>
      <c r="D273" s="858">
        <v>2018</v>
      </c>
      <c r="E273" s="858">
        <v>2019</v>
      </c>
      <c r="F273" s="858">
        <v>2020</v>
      </c>
      <c r="G273" s="858">
        <v>2021</v>
      </c>
      <c r="H273" s="857"/>
      <c r="K273" s="856"/>
      <c r="M273" s="856"/>
    </row>
    <row r="274" spans="3:14" ht="22.5" customHeight="1" thickBot="1" x14ac:dyDescent="0.25">
      <c r="C274" s="868" t="s">
        <v>716</v>
      </c>
      <c r="D274" s="867">
        <v>100</v>
      </c>
      <c r="E274" s="867">
        <v>100</v>
      </c>
      <c r="F274" s="867">
        <v>100</v>
      </c>
      <c r="G274" s="867">
        <v>100</v>
      </c>
      <c r="H274" s="866"/>
    </row>
    <row r="275" spans="3:14" ht="13.15" customHeight="1" thickBot="1" x14ac:dyDescent="0.25">
      <c r="C275" s="2527" t="s">
        <v>715</v>
      </c>
      <c r="D275" s="2528"/>
      <c r="E275" s="2528"/>
      <c r="F275" s="2528"/>
      <c r="G275" s="2529"/>
      <c r="H275" s="851"/>
    </row>
    <row r="276" spans="3:14" ht="13.15" customHeight="1" thickBot="1" x14ac:dyDescent="0.25">
      <c r="C276" s="2527" t="s">
        <v>121</v>
      </c>
      <c r="D276" s="2528"/>
      <c r="E276" s="2528"/>
      <c r="F276" s="2528"/>
      <c r="G276" s="2529"/>
      <c r="H276" s="851"/>
    </row>
    <row r="277" spans="3:14" ht="13.15" customHeight="1" thickBot="1" x14ac:dyDescent="0.25">
      <c r="C277" s="850" t="s">
        <v>629</v>
      </c>
      <c r="D277" s="2530" t="s">
        <v>714</v>
      </c>
      <c r="E277" s="2531"/>
      <c r="F277" s="2531"/>
      <c r="G277" s="2532"/>
      <c r="H277" s="848"/>
    </row>
    <row r="278" spans="3:14" ht="13.15" customHeight="1" thickBot="1" x14ac:dyDescent="0.25">
      <c r="C278" s="838" t="s">
        <v>10</v>
      </c>
      <c r="D278" s="2530" t="s">
        <v>714</v>
      </c>
      <c r="E278" s="2531"/>
      <c r="F278" s="2531"/>
      <c r="G278" s="2532"/>
      <c r="H278" s="848"/>
    </row>
    <row r="279" spans="3:14" ht="13.15" customHeight="1" thickBot="1" x14ac:dyDescent="0.25">
      <c r="C279" s="838" t="s">
        <v>13</v>
      </c>
      <c r="D279" s="2533" t="s">
        <v>713</v>
      </c>
      <c r="E279" s="2534"/>
      <c r="F279" s="2534"/>
      <c r="G279" s="2535"/>
      <c r="H279" s="847"/>
    </row>
    <row r="280" spans="3:14" ht="13.15" customHeight="1" x14ac:dyDescent="0.2">
      <c r="C280" s="2536"/>
      <c r="D280" s="828">
        <v>2018</v>
      </c>
      <c r="E280" s="828">
        <v>2019</v>
      </c>
      <c r="F280" s="828">
        <v>2020</v>
      </c>
      <c r="G280" s="828">
        <v>2021</v>
      </c>
      <c r="H280" s="826"/>
    </row>
    <row r="281" spans="3:14" ht="13.15" customHeight="1" thickBot="1" x14ac:dyDescent="0.25">
      <c r="C281" s="2537"/>
      <c r="D281" s="827" t="s">
        <v>6</v>
      </c>
      <c r="E281" s="827" t="s">
        <v>7</v>
      </c>
      <c r="F281" s="827" t="s">
        <v>7</v>
      </c>
      <c r="G281" s="827" t="s">
        <v>7</v>
      </c>
      <c r="H281" s="826"/>
    </row>
    <row r="282" spans="3:14" ht="13.15" customHeight="1" thickBot="1" x14ac:dyDescent="0.25">
      <c r="C282" s="838" t="s">
        <v>9</v>
      </c>
      <c r="D282" s="865">
        <v>40</v>
      </c>
      <c r="E282" s="865"/>
      <c r="F282" s="865"/>
      <c r="G282" s="865"/>
      <c r="H282" s="864"/>
    </row>
    <row r="283" spans="3:14" ht="13.15" customHeight="1" thickBot="1" x14ac:dyDescent="0.25">
      <c r="C283" s="838" t="s">
        <v>14</v>
      </c>
      <c r="D283" s="842">
        <v>30000</v>
      </c>
      <c r="E283" s="842"/>
      <c r="F283" s="842"/>
      <c r="G283" s="842"/>
      <c r="H283" s="863"/>
    </row>
    <row r="284" spans="3:14" ht="13.15" customHeight="1" thickBot="1" x14ac:dyDescent="0.25">
      <c r="C284" s="838" t="s">
        <v>23</v>
      </c>
      <c r="D284" s="842">
        <v>750</v>
      </c>
      <c r="E284" s="842"/>
      <c r="F284" s="842"/>
      <c r="G284" s="842"/>
      <c r="H284" s="863"/>
    </row>
    <row r="285" spans="3:14" ht="13.15" customHeight="1" thickBot="1" x14ac:dyDescent="0.25">
      <c r="C285" s="838" t="s">
        <v>15</v>
      </c>
      <c r="D285" s="862"/>
      <c r="E285" s="862">
        <f>E282/D282-1</f>
        <v>-1</v>
      </c>
      <c r="F285" s="862"/>
      <c r="G285" s="862"/>
      <c r="H285" s="861"/>
      <c r="J285" s="839"/>
      <c r="K285" s="839"/>
      <c r="L285" s="839"/>
      <c r="M285" s="839"/>
      <c r="N285" s="839"/>
    </row>
    <row r="286" spans="3:14" ht="13.15" customHeight="1" thickBot="1" x14ac:dyDescent="0.25">
      <c r="C286" s="838" t="s">
        <v>16</v>
      </c>
      <c r="D286" s="862"/>
      <c r="E286" s="862">
        <f>E283/D283-1</f>
        <v>-1</v>
      </c>
      <c r="F286" s="862"/>
      <c r="G286" s="862"/>
      <c r="H286" s="861"/>
    </row>
    <row r="287" spans="3:14" ht="13.15" customHeight="1" thickBot="1" x14ac:dyDescent="0.25">
      <c r="C287" s="838" t="s">
        <v>17</v>
      </c>
      <c r="D287" s="862"/>
      <c r="E287" s="862">
        <f>E284/D284-1</f>
        <v>-1</v>
      </c>
      <c r="F287" s="862"/>
      <c r="G287" s="862"/>
      <c r="H287" s="861"/>
    </row>
    <row r="288" spans="3:14" ht="13.15" customHeight="1" thickBot="1" x14ac:dyDescent="0.25">
      <c r="C288" s="2555" t="s">
        <v>707</v>
      </c>
      <c r="D288" s="2556"/>
      <c r="E288" s="2556"/>
      <c r="F288" s="2556"/>
      <c r="G288" s="2557"/>
      <c r="H288" s="829"/>
    </row>
    <row r="289" spans="3:13" ht="13.15" customHeight="1" x14ac:dyDescent="0.2">
      <c r="C289" s="2536"/>
      <c r="D289" s="828">
        <v>2018</v>
      </c>
      <c r="E289" s="828">
        <v>2019</v>
      </c>
      <c r="F289" s="828">
        <v>2020</v>
      </c>
      <c r="G289" s="828">
        <v>2021</v>
      </c>
      <c r="H289" s="826"/>
    </row>
    <row r="290" spans="3:13" ht="13.15" customHeight="1" thickBot="1" x14ac:dyDescent="0.25">
      <c r="C290" s="2537"/>
      <c r="D290" s="827" t="s">
        <v>6</v>
      </c>
      <c r="E290" s="827" t="s">
        <v>7</v>
      </c>
      <c r="F290" s="827" t="s">
        <v>7</v>
      </c>
      <c r="G290" s="827" t="s">
        <v>7</v>
      </c>
      <c r="H290" s="826"/>
    </row>
    <row r="291" spans="3:13" ht="13.15" customHeight="1" thickBot="1" x14ac:dyDescent="0.25">
      <c r="C291" s="809" t="s">
        <v>104</v>
      </c>
      <c r="D291" s="818"/>
      <c r="E291" s="818"/>
      <c r="F291" s="818"/>
      <c r="G291" s="818"/>
      <c r="H291" s="817"/>
    </row>
    <row r="292" spans="3:13" ht="13.15" customHeight="1" thickBot="1" x14ac:dyDescent="0.25">
      <c r="C292" s="809" t="s">
        <v>105</v>
      </c>
      <c r="D292" s="805">
        <f>D283</f>
        <v>30000</v>
      </c>
      <c r="E292" s="805">
        <f>E283</f>
        <v>0</v>
      </c>
      <c r="F292" s="805">
        <f>F283</f>
        <v>0</v>
      </c>
      <c r="G292" s="805">
        <f>G283</f>
        <v>0</v>
      </c>
      <c r="H292" s="816"/>
    </row>
    <row r="293" spans="3:13" ht="13.15" customHeight="1" thickBot="1" x14ac:dyDescent="0.25">
      <c r="C293" s="830" t="s">
        <v>68</v>
      </c>
      <c r="D293" s="805">
        <f>D292+D291</f>
        <v>30000</v>
      </c>
      <c r="E293" s="805">
        <f>E292+E291</f>
        <v>0</v>
      </c>
      <c r="F293" s="805">
        <f>F292+F291</f>
        <v>0</v>
      </c>
      <c r="G293" s="805">
        <f>G292+G291</f>
        <v>0</v>
      </c>
      <c r="H293" s="816"/>
    </row>
    <row r="294" spans="3:13" ht="13.15" customHeight="1" thickBot="1" x14ac:dyDescent="0.25">
      <c r="C294" s="802" t="s">
        <v>70</v>
      </c>
      <c r="D294" s="801">
        <f>D293-D283</f>
        <v>0</v>
      </c>
      <c r="E294" s="801">
        <f>E293-E283</f>
        <v>0</v>
      </c>
      <c r="F294" s="801">
        <f>F293-F283</f>
        <v>0</v>
      </c>
      <c r="G294" s="801">
        <f>G293-G283</f>
        <v>0</v>
      </c>
      <c r="H294" s="800"/>
    </row>
    <row r="295" spans="3:13" s="859" customFormat="1" ht="26.45" customHeight="1" thickBot="1" x14ac:dyDescent="0.25">
      <c r="C295" s="860" t="s">
        <v>620</v>
      </c>
      <c r="D295" s="2530" t="s">
        <v>712</v>
      </c>
      <c r="E295" s="2531"/>
      <c r="F295" s="2531"/>
      <c r="G295" s="2532"/>
      <c r="H295" s="848"/>
    </row>
    <row r="296" spans="3:13" ht="13.15" customHeight="1" thickBot="1" x14ac:dyDescent="0.25">
      <c r="C296" s="2543" t="s">
        <v>618</v>
      </c>
      <c r="D296" s="2544"/>
      <c r="E296" s="2544"/>
      <c r="F296" s="2544"/>
      <c r="G296" s="2545"/>
      <c r="H296" s="857"/>
      <c r="K296" s="856"/>
      <c r="M296" s="856"/>
    </row>
    <row r="297" spans="3:13" ht="13.15" customHeight="1" x14ac:dyDescent="0.2">
      <c r="C297" s="858"/>
      <c r="D297" s="858">
        <v>2018</v>
      </c>
      <c r="E297" s="858">
        <v>2019</v>
      </c>
      <c r="F297" s="858">
        <v>2020</v>
      </c>
      <c r="G297" s="858">
        <v>2021</v>
      </c>
      <c r="H297" s="857"/>
      <c r="K297" s="856"/>
      <c r="M297" s="856"/>
    </row>
    <row r="298" spans="3:13" ht="21" customHeight="1" thickBot="1" x14ac:dyDescent="0.25">
      <c r="C298" s="855" t="s">
        <v>711</v>
      </c>
      <c r="D298" s="854">
        <v>95000</v>
      </c>
      <c r="E298" s="854">
        <v>100000</v>
      </c>
      <c r="F298" s="854">
        <v>103000</v>
      </c>
      <c r="G298" s="853">
        <v>103000</v>
      </c>
      <c r="H298" s="852"/>
    </row>
    <row r="299" spans="3:13" ht="13.15" customHeight="1" thickBot="1" x14ac:dyDescent="0.25">
      <c r="C299" s="2527" t="s">
        <v>614</v>
      </c>
      <c r="D299" s="2528"/>
      <c r="E299" s="2528"/>
      <c r="F299" s="2528"/>
      <c r="G299" s="2529"/>
      <c r="H299" s="851"/>
    </row>
    <row r="300" spans="3:13" ht="13.15" customHeight="1" thickBot="1" x14ac:dyDescent="0.25">
      <c r="C300" s="2527" t="s">
        <v>121</v>
      </c>
      <c r="D300" s="2528"/>
      <c r="E300" s="2528"/>
      <c r="F300" s="2528"/>
      <c r="G300" s="2529"/>
      <c r="H300" s="851"/>
    </row>
    <row r="301" spans="3:13" ht="13.15" customHeight="1" thickBot="1" x14ac:dyDescent="0.25">
      <c r="C301" s="850" t="s">
        <v>617</v>
      </c>
      <c r="D301" s="2564" t="s">
        <v>710</v>
      </c>
      <c r="E301" s="2565"/>
      <c r="F301" s="2565"/>
      <c r="G301" s="2566"/>
      <c r="H301" s="849"/>
    </row>
    <row r="302" spans="3:13" ht="31.15" customHeight="1" thickBot="1" x14ac:dyDescent="0.25">
      <c r="C302" s="838" t="s">
        <v>10</v>
      </c>
      <c r="D302" s="2530" t="s">
        <v>709</v>
      </c>
      <c r="E302" s="2531"/>
      <c r="F302" s="2531"/>
      <c r="G302" s="2532"/>
      <c r="H302" s="848"/>
    </row>
    <row r="303" spans="3:13" ht="13.15" customHeight="1" thickBot="1" x14ac:dyDescent="0.25">
      <c r="C303" s="838" t="s">
        <v>13</v>
      </c>
      <c r="D303" s="2533" t="s">
        <v>708</v>
      </c>
      <c r="E303" s="2534"/>
      <c r="F303" s="2534"/>
      <c r="G303" s="2535"/>
      <c r="H303" s="847"/>
    </row>
    <row r="304" spans="3:13" ht="13.15" customHeight="1" x14ac:dyDescent="0.2">
      <c r="C304" s="2536"/>
      <c r="D304" s="828">
        <v>2018</v>
      </c>
      <c r="E304" s="828">
        <v>2019</v>
      </c>
      <c r="F304" s="828">
        <v>2020</v>
      </c>
      <c r="G304" s="828">
        <v>2021</v>
      </c>
      <c r="H304" s="826"/>
    </row>
    <row r="305" spans="3:14" ht="13.15" customHeight="1" thickBot="1" x14ac:dyDescent="0.25">
      <c r="C305" s="2537"/>
      <c r="D305" s="827" t="s">
        <v>6</v>
      </c>
      <c r="E305" s="827" t="s">
        <v>7</v>
      </c>
      <c r="F305" s="827" t="s">
        <v>7</v>
      </c>
      <c r="G305" s="827" t="s">
        <v>7</v>
      </c>
      <c r="H305" s="826"/>
    </row>
    <row r="306" spans="3:14" ht="13.15" customHeight="1" thickBot="1" x14ac:dyDescent="0.25">
      <c r="C306" s="838" t="s">
        <v>9</v>
      </c>
      <c r="D306" s="846">
        <v>95000</v>
      </c>
      <c r="E306" s="846">
        <v>100000</v>
      </c>
      <c r="F306" s="846">
        <v>103000</v>
      </c>
      <c r="G306" s="845">
        <v>103000</v>
      </c>
      <c r="H306" s="844"/>
    </row>
    <row r="307" spans="3:14" ht="13.15" customHeight="1" thickBot="1" x14ac:dyDescent="0.25">
      <c r="C307" s="838" t="s">
        <v>14</v>
      </c>
      <c r="D307" s="1501">
        <v>10000</v>
      </c>
      <c r="E307" s="1501">
        <v>10000</v>
      </c>
      <c r="F307" s="1501">
        <v>10000</v>
      </c>
      <c r="G307" s="1501">
        <v>10000</v>
      </c>
      <c r="H307" s="843"/>
    </row>
    <row r="308" spans="3:14" ht="13.15" customHeight="1" thickBot="1" x14ac:dyDescent="0.25">
      <c r="C308" s="838" t="s">
        <v>23</v>
      </c>
      <c r="D308" s="842">
        <v>0.11</v>
      </c>
      <c r="E308" s="842">
        <v>0.1</v>
      </c>
      <c r="F308" s="842">
        <v>0.1</v>
      </c>
      <c r="G308" s="841">
        <f>F308+F308*2%</f>
        <v>0.10200000000000001</v>
      </c>
      <c r="H308" s="840"/>
    </row>
    <row r="309" spans="3:14" ht="13.15" customHeight="1" thickBot="1" x14ac:dyDescent="0.25">
      <c r="C309" s="838" t="s">
        <v>15</v>
      </c>
      <c r="D309" s="837"/>
      <c r="E309" s="836">
        <f t="shared" ref="E309:G311" si="23">E306/D306-1</f>
        <v>5.2631578947368363E-2</v>
      </c>
      <c r="F309" s="836">
        <f t="shared" si="23"/>
        <v>3.0000000000000027E-2</v>
      </c>
      <c r="G309" s="836">
        <f t="shared" si="23"/>
        <v>0</v>
      </c>
      <c r="H309" s="835"/>
      <c r="J309" s="839"/>
      <c r="K309" s="839"/>
      <c r="L309" s="839"/>
      <c r="M309" s="839"/>
      <c r="N309" s="839"/>
    </row>
    <row r="310" spans="3:14" ht="13.15" customHeight="1" thickBot="1" x14ac:dyDescent="0.25">
      <c r="C310" s="838" t="s">
        <v>16</v>
      </c>
      <c r="D310" s="837"/>
      <c r="E310" s="836">
        <f t="shared" si="23"/>
        <v>0</v>
      </c>
      <c r="F310" s="836">
        <f t="shared" si="23"/>
        <v>0</v>
      </c>
      <c r="G310" s="836">
        <f t="shared" si="23"/>
        <v>0</v>
      </c>
      <c r="H310" s="835"/>
    </row>
    <row r="311" spans="3:14" ht="13.15" customHeight="1" thickBot="1" x14ac:dyDescent="0.25">
      <c r="C311" s="838" t="s">
        <v>17</v>
      </c>
      <c r="D311" s="837"/>
      <c r="E311" s="836">
        <f t="shared" si="23"/>
        <v>-9.0909090909090828E-2</v>
      </c>
      <c r="F311" s="836">
        <f t="shared" si="23"/>
        <v>0</v>
      </c>
      <c r="G311" s="836">
        <f t="shared" si="23"/>
        <v>2.0000000000000018E-2</v>
      </c>
      <c r="H311" s="835"/>
    </row>
    <row r="312" spans="3:14" ht="13.15" customHeight="1" thickBot="1" x14ac:dyDescent="0.25">
      <c r="C312" s="834" t="s">
        <v>707</v>
      </c>
      <c r="D312" s="833"/>
      <c r="E312" s="833"/>
      <c r="F312" s="833"/>
      <c r="G312" s="832"/>
      <c r="H312" s="831"/>
    </row>
    <row r="313" spans="3:14" ht="13.15" customHeight="1" x14ac:dyDescent="0.2">
      <c r="C313" s="1151"/>
      <c r="D313" s="828">
        <v>2018</v>
      </c>
      <c r="E313" s="828">
        <v>2019</v>
      </c>
      <c r="F313" s="828">
        <v>2020</v>
      </c>
      <c r="G313" s="828">
        <v>2021</v>
      </c>
      <c r="H313" s="826"/>
    </row>
    <row r="314" spans="3:14" ht="13.15" customHeight="1" thickBot="1" x14ac:dyDescent="0.25">
      <c r="C314" s="1152"/>
      <c r="D314" s="827" t="s">
        <v>6</v>
      </c>
      <c r="E314" s="827" t="s">
        <v>7</v>
      </c>
      <c r="F314" s="827" t="s">
        <v>7</v>
      </c>
      <c r="G314" s="827" t="s">
        <v>7</v>
      </c>
      <c r="H314" s="826"/>
    </row>
    <row r="315" spans="3:14" ht="13.15" customHeight="1" thickBot="1" x14ac:dyDescent="0.25">
      <c r="C315" s="809" t="s">
        <v>104</v>
      </c>
      <c r="D315" s="818"/>
      <c r="E315" s="818"/>
      <c r="F315" s="818"/>
      <c r="G315" s="818"/>
      <c r="H315" s="817"/>
    </row>
    <row r="316" spans="3:14" ht="13.15" customHeight="1" thickBot="1" x14ac:dyDescent="0.25">
      <c r="C316" s="809" t="s">
        <v>105</v>
      </c>
      <c r="D316" s="805">
        <f>D307</f>
        <v>10000</v>
      </c>
      <c r="E316" s="805">
        <f>E307</f>
        <v>10000</v>
      </c>
      <c r="F316" s="805">
        <f>F307</f>
        <v>10000</v>
      </c>
      <c r="G316" s="805">
        <f>G307</f>
        <v>10000</v>
      </c>
      <c r="H316" s="816"/>
    </row>
    <row r="317" spans="3:14" ht="13.15" customHeight="1" thickBot="1" x14ac:dyDescent="0.25">
      <c r="C317" s="830" t="s">
        <v>68</v>
      </c>
      <c r="D317" s="805">
        <f>D316+D315</f>
        <v>10000</v>
      </c>
      <c r="E317" s="805">
        <f>E316+E315</f>
        <v>10000</v>
      </c>
      <c r="F317" s="805">
        <f>F316+F315</f>
        <v>10000</v>
      </c>
      <c r="G317" s="805">
        <f>G316+G315</f>
        <v>10000</v>
      </c>
      <c r="H317" s="816"/>
    </row>
    <row r="318" spans="3:14" ht="13.15" customHeight="1" thickBot="1" x14ac:dyDescent="0.25">
      <c r="C318" s="802" t="s">
        <v>70</v>
      </c>
      <c r="D318" s="801">
        <f>D317-D307</f>
        <v>0</v>
      </c>
      <c r="E318" s="801">
        <f>E317-E307</f>
        <v>0</v>
      </c>
      <c r="F318" s="801">
        <f>F317-F307</f>
        <v>0</v>
      </c>
      <c r="G318" s="801">
        <f>G317-G307</f>
        <v>0</v>
      </c>
      <c r="H318" s="800"/>
    </row>
    <row r="319" spans="3:14" ht="13.15" customHeight="1" thickBot="1" x14ac:dyDescent="0.25">
      <c r="C319" s="2555" t="s">
        <v>706</v>
      </c>
      <c r="D319" s="2556"/>
      <c r="E319" s="2556"/>
      <c r="F319" s="2556"/>
      <c r="G319" s="2557"/>
      <c r="H319" s="829"/>
    </row>
    <row r="320" spans="3:14" ht="13.15" customHeight="1" x14ac:dyDescent="0.2">
      <c r="C320" s="2536"/>
      <c r="D320" s="828">
        <v>2018</v>
      </c>
      <c r="E320" s="828">
        <v>2019</v>
      </c>
      <c r="F320" s="828">
        <v>2020</v>
      </c>
      <c r="G320" s="828">
        <v>2021</v>
      </c>
      <c r="H320" s="826"/>
    </row>
    <row r="321" spans="3:13" ht="13.15" customHeight="1" thickBot="1" x14ac:dyDescent="0.25">
      <c r="C321" s="2537"/>
      <c r="D321" s="827" t="s">
        <v>6</v>
      </c>
      <c r="E321" s="827" t="s">
        <v>7</v>
      </c>
      <c r="F321" s="827" t="s">
        <v>7</v>
      </c>
      <c r="G321" s="827" t="s">
        <v>7</v>
      </c>
      <c r="H321" s="826"/>
    </row>
    <row r="322" spans="3:13" ht="24" customHeight="1" thickBot="1" x14ac:dyDescent="0.25">
      <c r="C322" s="825" t="s">
        <v>116</v>
      </c>
      <c r="D322" s="824">
        <f>D36+D66+D89+D112+D135+D167+D198+D216+D234+D259+D283+D307</f>
        <v>7094731.7599999998</v>
      </c>
      <c r="E322" s="824">
        <f>E36+E66+E89+E112+E135+E167+E198+E216+E234+E259+E283+E307</f>
        <v>8964163.5040000007</v>
      </c>
      <c r="F322" s="824">
        <f>F36+F66+F89+F112+F135+F167+F198+F216+F234+F259+F283+F307</f>
        <v>9651339.6044000015</v>
      </c>
      <c r="G322" s="824">
        <f>G36+G66+G89+G112+G135+G167+G198+G216+G234+G259+G283+G307</f>
        <v>10677192.219016001</v>
      </c>
      <c r="H322" s="823"/>
    </row>
    <row r="323" spans="3:13" ht="25.15" customHeight="1" thickBot="1" x14ac:dyDescent="0.25">
      <c r="C323" s="825" t="s">
        <v>117</v>
      </c>
      <c r="D323" s="824">
        <f>D51+D81+D104+D127+D150+D182+D208+D226+D244+D269+D293+D317</f>
        <v>7094731.7599999998</v>
      </c>
      <c r="E323" s="824">
        <f>E51+E81+E104+E127+E150+E182+E208+E226+E244+E269+E293+E317</f>
        <v>9004163.5040000007</v>
      </c>
      <c r="F323" s="824">
        <f>F51+F81+F104+F127+F150+F182+F208+F226+F244+F269+F293+F317</f>
        <v>9701339.6044000015</v>
      </c>
      <c r="G323" s="824">
        <f>G51+G81+G104+G127+G150+G182+G208+G226+G244+G269+G293+G317</f>
        <v>10757192.219016001</v>
      </c>
      <c r="H323" s="823"/>
    </row>
    <row r="324" spans="3:13" ht="22.9" customHeight="1" thickBot="1" x14ac:dyDescent="0.25">
      <c r="C324" s="822" t="s">
        <v>24</v>
      </c>
      <c r="D324" s="821"/>
      <c r="E324" s="820">
        <f>E323/D323-1</f>
        <v>0.2691337472073787</v>
      </c>
      <c r="F324" s="820">
        <f>F323/E323-1</f>
        <v>7.7428191979220351E-2</v>
      </c>
      <c r="G324" s="820">
        <f>G323/F323-1</f>
        <v>0.10883575440830073</v>
      </c>
      <c r="H324" s="819"/>
    </row>
    <row r="325" spans="3:13" ht="13.15" customHeight="1" thickBot="1" x14ac:dyDescent="0.25">
      <c r="C325" s="815" t="s">
        <v>0</v>
      </c>
      <c r="D325" s="814">
        <f>D44+D74+D97+D120+D143+D175</f>
        <v>4986850</v>
      </c>
      <c r="E325" s="814">
        <f>E44+E74+E97+E120+E143+E175</f>
        <v>5581681.9000000004</v>
      </c>
      <c r="F325" s="814">
        <f>F44+F74+F97+F120+F143+F175</f>
        <v>6136250.0900000008</v>
      </c>
      <c r="G325" s="814">
        <f>G44+G74+G97+G120+G143+G175</f>
        <v>6990285.1025999999</v>
      </c>
      <c r="H325" s="813"/>
    </row>
    <row r="326" spans="3:13" ht="13.15" customHeight="1" thickBot="1" x14ac:dyDescent="0.25">
      <c r="C326" s="806" t="s">
        <v>25</v>
      </c>
      <c r="D326" s="818"/>
      <c r="E326" s="818"/>
      <c r="F326" s="818"/>
      <c r="G326" s="818"/>
      <c r="H326" s="817"/>
    </row>
    <row r="327" spans="3:13" ht="13.15" customHeight="1" thickBot="1" x14ac:dyDescent="0.25">
      <c r="C327" s="815" t="s">
        <v>49</v>
      </c>
      <c r="D327" s="814">
        <f>D45+D75+D98+D121+D144+D176</f>
        <v>862667</v>
      </c>
      <c r="E327" s="814">
        <f>E45+E75+E98+E121+E144+E176</f>
        <v>893537.10400000005</v>
      </c>
      <c r="F327" s="814">
        <f>F45+F75+F98+F121+F144+F176</f>
        <v>982268.0144000001</v>
      </c>
      <c r="G327" s="814">
        <f>G45+G75+G98+G121+G144+G176</f>
        <v>1118913.6164160001</v>
      </c>
      <c r="H327" s="813"/>
    </row>
    <row r="328" spans="3:13" ht="13.15" customHeight="1" thickBot="1" x14ac:dyDescent="0.25">
      <c r="C328" s="806" t="s">
        <v>50</v>
      </c>
      <c r="D328" s="805"/>
      <c r="E328" s="804">
        <f>E327/D327-1</f>
        <v>3.5784496219282813E-2</v>
      </c>
      <c r="F328" s="804">
        <f>F327/E327-1</f>
        <v>9.9302994808819989E-2</v>
      </c>
      <c r="G328" s="804">
        <f>G327/F327-1</f>
        <v>0.1391123400261256</v>
      </c>
      <c r="H328" s="803"/>
    </row>
    <row r="329" spans="3:13" ht="13.15" customHeight="1" thickBot="1" x14ac:dyDescent="0.25">
      <c r="C329" s="815" t="s">
        <v>1</v>
      </c>
      <c r="D329" s="814">
        <f>D46+D76+D99+D122+D145+D177</f>
        <v>153100</v>
      </c>
      <c r="E329" s="814">
        <f>E46+E76+E99+E122+E145+E177</f>
        <v>274844.5</v>
      </c>
      <c r="F329" s="814">
        <f>F46+F76+F99+F122+F145+F177</f>
        <v>321421.5</v>
      </c>
      <c r="G329" s="814">
        <f>G46+G76+G99+G122+G145+G177</f>
        <v>349593.5</v>
      </c>
      <c r="H329" s="813"/>
    </row>
    <row r="330" spans="3:13" ht="13.15" customHeight="1" thickBot="1" x14ac:dyDescent="0.25">
      <c r="C330" s="806" t="s">
        <v>26</v>
      </c>
      <c r="D330" s="805"/>
      <c r="E330" s="804">
        <f>E329/D329-1</f>
        <v>0.79519595035924229</v>
      </c>
      <c r="F330" s="804">
        <f>F329/E329-1</f>
        <v>0.16946673482642005</v>
      </c>
      <c r="G330" s="804">
        <f>G329/F329-1</f>
        <v>8.7648150481532738E-2</v>
      </c>
      <c r="H330" s="803"/>
    </row>
    <row r="331" spans="3:13" ht="13.15" customHeight="1" thickBot="1" x14ac:dyDescent="0.25">
      <c r="C331" s="809" t="s">
        <v>2</v>
      </c>
      <c r="D331" s="818">
        <v>0</v>
      </c>
      <c r="E331" s="818">
        <v>0</v>
      </c>
      <c r="F331" s="818">
        <v>0</v>
      </c>
      <c r="G331" s="818">
        <v>0</v>
      </c>
      <c r="H331" s="817"/>
    </row>
    <row r="332" spans="3:13" ht="13.15" customHeight="1" thickBot="1" x14ac:dyDescent="0.25">
      <c r="C332" s="806" t="s">
        <v>27</v>
      </c>
      <c r="D332" s="805"/>
      <c r="E332" s="805"/>
      <c r="F332" s="805"/>
      <c r="G332" s="805"/>
      <c r="H332" s="816"/>
    </row>
    <row r="333" spans="3:13" ht="13.15" customHeight="1" thickBot="1" x14ac:dyDescent="0.25">
      <c r="C333" s="809" t="s">
        <v>28</v>
      </c>
      <c r="D333" s="818">
        <v>0</v>
      </c>
      <c r="E333" s="818">
        <v>0</v>
      </c>
      <c r="F333" s="818">
        <v>0</v>
      </c>
      <c r="G333" s="818">
        <v>0</v>
      </c>
      <c r="H333" s="817"/>
    </row>
    <row r="334" spans="3:13" ht="13.15" customHeight="1" thickBot="1" x14ac:dyDescent="0.25">
      <c r="C334" s="806" t="s">
        <v>29</v>
      </c>
      <c r="D334" s="805"/>
      <c r="E334" s="805"/>
      <c r="F334" s="805"/>
      <c r="G334" s="805"/>
      <c r="H334" s="816"/>
    </row>
    <row r="335" spans="3:13" ht="13.15" customHeight="1" thickBot="1" x14ac:dyDescent="0.25">
      <c r="C335" s="809" t="s">
        <v>30</v>
      </c>
      <c r="D335" s="818">
        <v>0</v>
      </c>
      <c r="E335" s="818">
        <v>0</v>
      </c>
      <c r="F335" s="818">
        <v>0</v>
      </c>
      <c r="G335" s="818">
        <v>0</v>
      </c>
      <c r="H335" s="817"/>
      <c r="I335" s="1459" t="s">
        <v>1040</v>
      </c>
      <c r="J335" s="1460">
        <f>D325+D327-J341</f>
        <v>0</v>
      </c>
      <c r="K335" s="1460">
        <f t="shared" ref="K335:M335" si="24">E325+E327-K341</f>
        <v>535023.00400000066</v>
      </c>
      <c r="L335" s="1460">
        <f t="shared" si="24"/>
        <v>1040415.1044000005</v>
      </c>
      <c r="M335" s="1461">
        <f t="shared" si="24"/>
        <v>2031095.7190159997</v>
      </c>
    </row>
    <row r="336" spans="3:13" ht="13.15" customHeight="1" thickBot="1" x14ac:dyDescent="0.25">
      <c r="C336" s="806" t="s">
        <v>31</v>
      </c>
      <c r="D336" s="805"/>
      <c r="E336" s="805"/>
      <c r="F336" s="805"/>
      <c r="G336" s="805"/>
      <c r="H336" s="816"/>
      <c r="I336" s="1462" t="s">
        <v>1041</v>
      </c>
      <c r="J336" s="1463">
        <f>D329+D337-J342</f>
        <v>0</v>
      </c>
      <c r="K336" s="1463">
        <f t="shared" ref="K336:M336" si="25">E329+E337-K342</f>
        <v>88797.5</v>
      </c>
      <c r="L336" s="1463">
        <f t="shared" si="25"/>
        <v>103124.5</v>
      </c>
      <c r="M336" s="1464">
        <f t="shared" si="25"/>
        <v>134096.5</v>
      </c>
    </row>
    <row r="337" spans="1:16" ht="13.15" customHeight="1" thickBot="1" x14ac:dyDescent="0.25">
      <c r="C337" s="815" t="s">
        <v>3</v>
      </c>
      <c r="D337" s="814">
        <f>D126</f>
        <v>70000</v>
      </c>
      <c r="E337" s="814">
        <f>E126</f>
        <v>100800</v>
      </c>
      <c r="F337" s="814">
        <f>F126</f>
        <v>103600</v>
      </c>
      <c r="G337" s="814">
        <f>G126</f>
        <v>106400</v>
      </c>
      <c r="H337" s="813"/>
      <c r="I337" s="1465" t="s">
        <v>96</v>
      </c>
      <c r="J337" s="2585" t="s">
        <v>481</v>
      </c>
      <c r="K337" s="2586"/>
      <c r="L337" s="2586"/>
      <c r="M337" s="2587"/>
    </row>
    <row r="338" spans="1:16" ht="13.15" customHeight="1" thickBot="1" x14ac:dyDescent="0.25">
      <c r="C338" s="806" t="s">
        <v>32</v>
      </c>
      <c r="D338" s="805"/>
      <c r="E338" s="804">
        <f>E337/D337-1</f>
        <v>0.43999999999999995</v>
      </c>
      <c r="F338" s="804">
        <f>F337/E337-1</f>
        <v>2.7777777777777679E-2</v>
      </c>
      <c r="G338" s="804">
        <f>G337/F337-1</f>
        <v>2.7027027027026973E-2</v>
      </c>
      <c r="H338" s="803"/>
      <c r="I338" s="1466"/>
      <c r="J338" s="1467"/>
      <c r="K338" s="1467"/>
      <c r="L338" s="1467"/>
      <c r="M338" s="1468"/>
    </row>
    <row r="339" spans="1:16" ht="13.15" customHeight="1" thickBot="1" x14ac:dyDescent="0.25">
      <c r="C339" s="815" t="s">
        <v>18</v>
      </c>
      <c r="D339" s="814">
        <f>D206+D224+D242+D267+D291+D315</f>
        <v>0</v>
      </c>
      <c r="E339" s="814">
        <f>E206+E224+E242+E267+E291+E315</f>
        <v>0</v>
      </c>
      <c r="F339" s="814">
        <f>F206+F224+F242+F267+F291+F315</f>
        <v>0</v>
      </c>
      <c r="G339" s="814">
        <f>G206+G224+G242+G267+G291+G315</f>
        <v>0</v>
      </c>
      <c r="H339" s="813"/>
      <c r="I339" s="1469"/>
      <c r="J339" s="812" t="s">
        <v>6</v>
      </c>
      <c r="K339" s="2588" t="s">
        <v>97</v>
      </c>
      <c r="L339" s="2589"/>
      <c r="M339" s="2590"/>
    </row>
    <row r="340" spans="1:16" ht="13.15" customHeight="1" thickBot="1" x14ac:dyDescent="0.25">
      <c r="C340" s="806" t="s">
        <v>33</v>
      </c>
      <c r="D340" s="805"/>
      <c r="E340" s="804">
        <v>0</v>
      </c>
      <c r="F340" s="804">
        <v>0</v>
      </c>
      <c r="G340" s="804">
        <v>0</v>
      </c>
      <c r="H340" s="803"/>
      <c r="I340" s="1465" t="s">
        <v>89</v>
      </c>
      <c r="J340" s="811">
        <v>2018</v>
      </c>
      <c r="K340" s="810">
        <v>2019</v>
      </c>
      <c r="L340" s="810">
        <v>2020</v>
      </c>
      <c r="M340" s="810">
        <v>2021</v>
      </c>
    </row>
    <row r="341" spans="1:16" ht="13.15" customHeight="1" thickBot="1" x14ac:dyDescent="0.25">
      <c r="C341" s="809" t="s">
        <v>19</v>
      </c>
      <c r="D341" s="808">
        <f>D207+D225+D243+D268+D292+D316</f>
        <v>1022114.76</v>
      </c>
      <c r="E341" s="808">
        <f>E207+E225+E243+E268+E292+E316</f>
        <v>2153300</v>
      </c>
      <c r="F341" s="808">
        <f>F207+F225+F243+F268+F292+F316</f>
        <v>2157800</v>
      </c>
      <c r="G341" s="808">
        <f>G207+G225+G243+G268+G292+G316</f>
        <v>2192000</v>
      </c>
      <c r="H341" s="807"/>
      <c r="I341" s="1470" t="s">
        <v>90</v>
      </c>
      <c r="J341" s="799">
        <f>5119517+730000</f>
        <v>5849517</v>
      </c>
      <c r="K341" s="799">
        <f>5119517+730000+90679</f>
        <v>5940196</v>
      </c>
      <c r="L341" s="799">
        <f>5119517+730000+90679+137907</f>
        <v>6078103</v>
      </c>
      <c r="M341" s="799">
        <f>5119517+730000+90679+137907</f>
        <v>6078103</v>
      </c>
    </row>
    <row r="342" spans="1:16" ht="13.15" customHeight="1" thickBot="1" x14ac:dyDescent="0.25">
      <c r="C342" s="806" t="s">
        <v>34</v>
      </c>
      <c r="D342" s="805"/>
      <c r="E342" s="804">
        <f>E341/D341-1</f>
        <v>1.1067106006765814</v>
      </c>
      <c r="F342" s="804">
        <f>F341/E341-1</f>
        <v>2.0898156318209793E-3</v>
      </c>
      <c r="G342" s="804">
        <f>G341/F341-1</f>
        <v>1.5849476318472444E-2</v>
      </c>
      <c r="H342" s="803"/>
      <c r="I342" s="1470" t="s">
        <v>91</v>
      </c>
      <c r="J342" s="796">
        <f>523082+18-300000</f>
        <v>223100</v>
      </c>
      <c r="K342" s="796">
        <v>286847</v>
      </c>
      <c r="L342" s="789">
        <v>321897</v>
      </c>
      <c r="M342" s="789">
        <v>321897</v>
      </c>
    </row>
    <row r="343" spans="1:16" ht="13.15" customHeight="1" thickBot="1" x14ac:dyDescent="0.25">
      <c r="C343" s="802" t="s">
        <v>70</v>
      </c>
      <c r="D343" s="801">
        <f>D325+D327+D329+D331+D333+D335+D337+D339+D341</f>
        <v>7094731.7599999998</v>
      </c>
      <c r="E343" s="801">
        <f>E325+E327+E329+E331+E333+E335+E337+E339+E341</f>
        <v>9004163.5040000007</v>
      </c>
      <c r="F343" s="801">
        <f>F325+F327+F329+F331+F333+F335+F337+F339+F341</f>
        <v>9701339.6044000015</v>
      </c>
      <c r="G343" s="801">
        <f>G325+G327+G329+G331+G333+G335+G337+G339+G341</f>
        <v>10757192.219016001</v>
      </c>
      <c r="H343" s="800"/>
      <c r="I343" s="1470" t="s">
        <v>92</v>
      </c>
      <c r="J343" s="799">
        <f>870673+151442</f>
        <v>1022115</v>
      </c>
      <c r="K343" s="798">
        <f>800000+462000</f>
        <v>1262000</v>
      </c>
      <c r="L343" s="797">
        <f>800000+462000</f>
        <v>1262000</v>
      </c>
      <c r="M343" s="797">
        <v>1062000</v>
      </c>
    </row>
    <row r="344" spans="1:16" ht="17.45" customHeight="1" thickBot="1" x14ac:dyDescent="0.25">
      <c r="C344" s="795" t="s">
        <v>55</v>
      </c>
      <c r="D344" s="794">
        <v>6548</v>
      </c>
      <c r="E344" s="794">
        <v>6548</v>
      </c>
      <c r="F344" s="794">
        <v>6548</v>
      </c>
      <c r="G344" s="794">
        <v>6548</v>
      </c>
      <c r="H344" s="793"/>
      <c r="I344" s="1470" t="s">
        <v>93</v>
      </c>
      <c r="J344" s="796">
        <v>0</v>
      </c>
      <c r="K344" s="796">
        <v>0</v>
      </c>
      <c r="L344" s="789">
        <v>0</v>
      </c>
      <c r="M344" s="789">
        <v>0</v>
      </c>
    </row>
    <row r="345" spans="1:16" ht="19.899999999999999" customHeight="1" thickBot="1" x14ac:dyDescent="0.25">
      <c r="C345" s="795" t="s">
        <v>705</v>
      </c>
      <c r="D345" s="794">
        <v>300</v>
      </c>
      <c r="E345" s="794">
        <v>300</v>
      </c>
      <c r="F345" s="794">
        <v>300</v>
      </c>
      <c r="G345" s="794">
        <v>300</v>
      </c>
      <c r="H345" s="793"/>
      <c r="I345" s="1470" t="s">
        <v>94</v>
      </c>
      <c r="J345" s="790">
        <v>0</v>
      </c>
      <c r="K345" s="790">
        <v>0</v>
      </c>
      <c r="L345" s="789">
        <v>0</v>
      </c>
      <c r="M345" s="789">
        <v>0</v>
      </c>
    </row>
    <row r="346" spans="1:16" ht="13.15" customHeight="1" thickBot="1" x14ac:dyDescent="0.25">
      <c r="C346" s="792"/>
      <c r="D346" s="1502">
        <f>D343-'Formati 2.1 Arsimi Mesem'!D340</f>
        <v>7094731.7599999998</v>
      </c>
      <c r="E346" s="1502">
        <f>E343-'Formati 2.1 Arsimi Mesem'!E340</f>
        <v>9004163.5040000007</v>
      </c>
      <c r="F346" s="1502">
        <f>F343-'Formati 2.1 Arsimi Mesem'!F340</f>
        <v>9701339.6044000015</v>
      </c>
      <c r="G346" s="1502">
        <f>G343-'Formati 2.1 Arsimi Mesem'!G340</f>
        <v>10757192.219016001</v>
      </c>
      <c r="H346" s="791"/>
      <c r="I346" s="1470" t="s">
        <v>95</v>
      </c>
      <c r="J346" s="790">
        <f>SUM(J341:J345)</f>
        <v>7094732</v>
      </c>
      <c r="K346" s="790">
        <f>SUM(K341:K345)</f>
        <v>7489043</v>
      </c>
      <c r="L346" s="789">
        <f>SUM(L341:L345)</f>
        <v>7662000</v>
      </c>
      <c r="M346" s="789">
        <f>SUM(M341:M345)</f>
        <v>7462000</v>
      </c>
    </row>
    <row r="347" spans="1:16" s="781" customFormat="1" ht="13.15" customHeight="1" x14ac:dyDescent="0.15">
      <c r="A347" s="2561" t="s">
        <v>122</v>
      </c>
      <c r="B347" s="787" t="s">
        <v>80</v>
      </c>
      <c r="C347" s="788"/>
      <c r="D347" s="2561" t="s">
        <v>83</v>
      </c>
      <c r="E347" s="787" t="s">
        <v>80</v>
      </c>
      <c r="F347" s="2561" t="s">
        <v>118</v>
      </c>
      <c r="G347" s="787" t="s">
        <v>80</v>
      </c>
      <c r="H347" s="782"/>
      <c r="I347" s="1471" t="s">
        <v>972</v>
      </c>
      <c r="J347" s="1472">
        <f>J346-D343</f>
        <v>0.24000000022351742</v>
      </c>
      <c r="K347" s="1472">
        <f t="shared" ref="K347:M347" si="26">K346-E343</f>
        <v>-1515120.5040000007</v>
      </c>
      <c r="L347" s="1472">
        <f t="shared" si="26"/>
        <v>-2039339.6044000015</v>
      </c>
      <c r="M347" s="1473">
        <f t="shared" si="26"/>
        <v>-3295192.2190160006</v>
      </c>
    </row>
    <row r="348" spans="1:16" s="781" customFormat="1" ht="13.15" customHeight="1" x14ac:dyDescent="0.15">
      <c r="A348" s="2562"/>
      <c r="B348" s="785" t="s">
        <v>81</v>
      </c>
      <c r="C348" s="786"/>
      <c r="D348" s="2562"/>
      <c r="E348" s="785" t="s">
        <v>81</v>
      </c>
      <c r="F348" s="2562"/>
      <c r="G348" s="785" t="s">
        <v>81</v>
      </c>
      <c r="H348" s="782"/>
      <c r="I348" s="1474" t="s">
        <v>1042</v>
      </c>
      <c r="J348" s="1475">
        <f>J343-D341</f>
        <v>0.23999999999068677</v>
      </c>
      <c r="K348" s="1475">
        <f t="shared" ref="K348:M348" si="27">K343-E341</f>
        <v>-891300</v>
      </c>
      <c r="L348" s="1475">
        <f t="shared" si="27"/>
        <v>-895800</v>
      </c>
      <c r="M348" s="1476">
        <f t="shared" si="27"/>
        <v>-1130000</v>
      </c>
    </row>
    <row r="349" spans="1:16" s="781" customFormat="1" ht="13.15" customHeight="1" thickBot="1" x14ac:dyDescent="0.2">
      <c r="A349" s="2563"/>
      <c r="B349" s="783" t="s">
        <v>82</v>
      </c>
      <c r="C349" s="784"/>
      <c r="D349" s="2563"/>
      <c r="E349" s="783" t="s">
        <v>82</v>
      </c>
      <c r="F349" s="2563"/>
      <c r="G349" s="783" t="s">
        <v>82</v>
      </c>
      <c r="H349" s="782"/>
    </row>
    <row r="350" spans="1:16" ht="13.15" customHeight="1" thickBot="1" x14ac:dyDescent="0.25">
      <c r="A350" s="778"/>
      <c r="B350" s="777"/>
      <c r="C350" s="777"/>
      <c r="D350" s="779"/>
      <c r="E350" s="778"/>
      <c r="F350" s="777"/>
      <c r="G350" s="777"/>
      <c r="H350" s="777"/>
      <c r="I350" s="1510" t="s">
        <v>1050</v>
      </c>
      <c r="J350" s="2570" t="s">
        <v>478</v>
      </c>
      <c r="K350" s="2571"/>
      <c r="L350" s="2571"/>
      <c r="M350" s="2571"/>
      <c r="N350" s="2571"/>
      <c r="O350" s="2571"/>
      <c r="P350" s="2572"/>
    </row>
    <row r="351" spans="1:16" ht="13.15" customHeight="1" thickBot="1" x14ac:dyDescent="0.25">
      <c r="A351" s="778"/>
      <c r="B351" s="777"/>
      <c r="C351" s="780" t="s">
        <v>86</v>
      </c>
      <c r="D351" s="779"/>
      <c r="E351" s="778"/>
      <c r="F351" s="777"/>
      <c r="G351" s="777"/>
      <c r="H351" s="777"/>
      <c r="I351" s="240">
        <v>2018</v>
      </c>
      <c r="J351" s="241">
        <v>2019</v>
      </c>
      <c r="K351" s="241">
        <v>2020</v>
      </c>
      <c r="L351" s="241">
        <v>2021</v>
      </c>
      <c r="M351" s="1511" t="s">
        <v>1051</v>
      </c>
      <c r="N351" s="1511" t="s">
        <v>1052</v>
      </c>
      <c r="O351" s="1511" t="s">
        <v>1053</v>
      </c>
      <c r="P351" s="1512" t="s">
        <v>1054</v>
      </c>
    </row>
    <row r="352" spans="1:16" ht="13.15" customHeight="1" x14ac:dyDescent="0.2">
      <c r="A352" s="778"/>
      <c r="B352" s="777"/>
      <c r="C352" s="2573" t="s">
        <v>123</v>
      </c>
      <c r="D352" s="2574"/>
      <c r="E352" s="2574"/>
      <c r="F352" s="2574"/>
      <c r="G352" s="2575"/>
      <c r="H352" s="1154"/>
      <c r="I352" s="251">
        <f>5119517+730000</f>
        <v>5849517</v>
      </c>
      <c r="J352" s="251">
        <f>5119517+730000+90679</f>
        <v>5940196</v>
      </c>
      <c r="K352" s="251">
        <f>5119517+730000+90679+137907</f>
        <v>6078103</v>
      </c>
      <c r="L352" s="251">
        <f>5119517+730000+90679+137907</f>
        <v>6078103</v>
      </c>
      <c r="M352" s="1513" t="e">
        <f t="shared" ref="M352:P354" si="28">I352/H352-1</f>
        <v>#DIV/0!</v>
      </c>
      <c r="N352" s="1513">
        <f t="shared" si="28"/>
        <v>1.5501963666401775E-2</v>
      </c>
      <c r="O352" s="1513">
        <f t="shared" si="28"/>
        <v>2.3215900620114249E-2</v>
      </c>
      <c r="P352" s="1514">
        <f t="shared" si="28"/>
        <v>0</v>
      </c>
    </row>
    <row r="353" spans="1:16" ht="13.15" customHeight="1" x14ac:dyDescent="0.2">
      <c r="A353" s="778"/>
      <c r="B353" s="777"/>
      <c r="C353" s="2576" t="s">
        <v>124</v>
      </c>
      <c r="D353" s="2577"/>
      <c r="E353" s="2577"/>
      <c r="F353" s="2577"/>
      <c r="G353" s="2578"/>
      <c r="H353" s="1155"/>
      <c r="I353" s="256">
        <f>523082+18-300000</f>
        <v>223100</v>
      </c>
      <c r="J353" s="256">
        <v>286847</v>
      </c>
      <c r="K353" s="244">
        <v>321897</v>
      </c>
      <c r="L353" s="244">
        <v>321897</v>
      </c>
      <c r="M353" s="1513" t="e">
        <f t="shared" si="28"/>
        <v>#DIV/0!</v>
      </c>
      <c r="N353" s="1513">
        <f t="shared" si="28"/>
        <v>0.28573285522187364</v>
      </c>
      <c r="O353" s="1513">
        <f t="shared" si="28"/>
        <v>0.12219057546357459</v>
      </c>
      <c r="P353" s="1514">
        <f t="shared" si="28"/>
        <v>0</v>
      </c>
    </row>
    <row r="354" spans="1:16" ht="13.15" customHeight="1" x14ac:dyDescent="0.2">
      <c r="C354" s="2579" t="s">
        <v>125</v>
      </c>
      <c r="D354" s="2580"/>
      <c r="E354" s="2580"/>
      <c r="F354" s="2580"/>
      <c r="G354" s="2581"/>
      <c r="H354" s="1153"/>
      <c r="I354" s="251">
        <f>870673+151442</f>
        <v>1022115</v>
      </c>
      <c r="J354" s="255">
        <f>800000+462000</f>
        <v>1262000</v>
      </c>
      <c r="K354" s="246">
        <f>800000+462000</f>
        <v>1262000</v>
      </c>
      <c r="L354" s="246">
        <v>1062000</v>
      </c>
      <c r="M354" s="1513" t="e">
        <f t="shared" si="28"/>
        <v>#DIV/0!</v>
      </c>
      <c r="N354" s="1513">
        <f t="shared" si="28"/>
        <v>0.2346947261315997</v>
      </c>
      <c r="O354" s="1513">
        <f t="shared" si="28"/>
        <v>0</v>
      </c>
      <c r="P354" s="1514">
        <f t="shared" si="28"/>
        <v>-0.15847860538827263</v>
      </c>
    </row>
    <row r="355" spans="1:16" ht="13.15" customHeight="1" x14ac:dyDescent="0.2">
      <c r="C355" s="2579" t="s">
        <v>126</v>
      </c>
      <c r="D355" s="2580"/>
      <c r="E355" s="2580"/>
      <c r="F355" s="2580"/>
      <c r="G355" s="2581"/>
      <c r="H355" s="1153"/>
      <c r="I355" s="256">
        <v>0</v>
      </c>
      <c r="J355" s="256">
        <v>0</v>
      </c>
      <c r="K355" s="244">
        <v>0</v>
      </c>
      <c r="L355" s="244">
        <v>0</v>
      </c>
      <c r="M355" s="1513"/>
      <c r="N355" s="1513"/>
      <c r="O355" s="1513"/>
      <c r="P355" s="1514"/>
    </row>
    <row r="356" spans="1:16" ht="13.15" customHeight="1" x14ac:dyDescent="0.2">
      <c r="C356" s="2579" t="s">
        <v>115</v>
      </c>
      <c r="D356" s="2580"/>
      <c r="E356" s="2580"/>
      <c r="F356" s="2580"/>
      <c r="G356" s="2581"/>
      <c r="H356" s="1153"/>
      <c r="I356" s="257">
        <v>0</v>
      </c>
      <c r="J356" s="257">
        <v>0</v>
      </c>
      <c r="K356" s="244">
        <v>0</v>
      </c>
      <c r="L356" s="244">
        <v>0</v>
      </c>
      <c r="M356" s="1513"/>
      <c r="N356" s="1513"/>
      <c r="O356" s="1513"/>
      <c r="P356" s="1514"/>
    </row>
    <row r="357" spans="1:16" ht="13.15" customHeight="1" x14ac:dyDescent="0.2">
      <c r="C357" s="2582" t="s">
        <v>704</v>
      </c>
      <c r="D357" s="2583"/>
      <c r="E357" s="2583"/>
      <c r="F357" s="2583"/>
      <c r="G357" s="2584"/>
      <c r="H357" s="1154"/>
      <c r="I357" s="257">
        <f t="shared" ref="I357:J357" si="29">SUM(I352:I356)</f>
        <v>7094732</v>
      </c>
      <c r="J357" s="257">
        <f t="shared" si="29"/>
        <v>7489043</v>
      </c>
      <c r="K357" s="244">
        <f>SUM(K352:K356)</f>
        <v>7662000</v>
      </c>
      <c r="L357" s="244">
        <f>SUM(L352:L356)</f>
        <v>7462000</v>
      </c>
      <c r="M357" s="1515" t="e">
        <f>I357/H357-1</f>
        <v>#DIV/0!</v>
      </c>
      <c r="N357" s="1515">
        <f>J357/I357-1</f>
        <v>5.5577997872224172E-2</v>
      </c>
      <c r="O357" s="1515">
        <f>K357/J357-1</f>
        <v>2.3094673111103692E-2</v>
      </c>
      <c r="P357" s="1516">
        <f>L357/K357-1</f>
        <v>-2.6102845210127956E-2</v>
      </c>
    </row>
    <row r="358" spans="1:16" ht="13.15" customHeight="1" thickBot="1" x14ac:dyDescent="0.25">
      <c r="C358" s="2567" t="s">
        <v>79</v>
      </c>
      <c r="D358" s="2568"/>
      <c r="E358" s="2568"/>
      <c r="F358" s="2568"/>
      <c r="G358" s="2569"/>
      <c r="H358" s="1154"/>
      <c r="I358" s="1517">
        <f t="shared" ref="I358:K358" si="30">I357/I$133</f>
        <v>151.5968376068376</v>
      </c>
      <c r="J358" s="1517">
        <f t="shared" si="30"/>
        <v>147.71287968441814</v>
      </c>
      <c r="K358" s="719" t="e">
        <f t="shared" si="30"/>
        <v>#DIV/0!</v>
      </c>
      <c r="L358" s="719" t="e">
        <f>L357/L$133</f>
        <v>#DIV/0!</v>
      </c>
      <c r="M358" s="1518"/>
      <c r="N358" s="1519" t="s">
        <v>1055</v>
      </c>
      <c r="O358" s="1520"/>
      <c r="P358" s="1521">
        <f>L357/I357-1</f>
        <v>5.1766296457709693E-2</v>
      </c>
    </row>
    <row r="359" spans="1:16" ht="13.15" customHeight="1" x14ac:dyDescent="0.2">
      <c r="I359" s="1522" t="e">
        <f t="shared" ref="I359:K359" si="31">I357/I$136</f>
        <v>#DIV/0!</v>
      </c>
      <c r="J359" s="1522" t="e">
        <f t="shared" si="31"/>
        <v>#DIV/0!</v>
      </c>
      <c r="K359" s="717" t="e">
        <f t="shared" si="31"/>
        <v>#DIV/0!</v>
      </c>
      <c r="L359" s="717" t="e">
        <f>L357/L$136</f>
        <v>#DIV/0!</v>
      </c>
      <c r="M359" s="1523"/>
      <c r="N359" s="1523"/>
      <c r="O359" s="1523"/>
      <c r="P359" s="1524"/>
    </row>
    <row r="360" spans="1:16" ht="13.15" customHeight="1" x14ac:dyDescent="0.2">
      <c r="I360" s="1522" t="e">
        <f t="shared" ref="I360:K360" si="32">I357/I$137</f>
        <v>#DIV/0!</v>
      </c>
      <c r="J360" s="1522" t="e">
        <f t="shared" si="32"/>
        <v>#DIV/0!</v>
      </c>
      <c r="K360" s="717" t="e">
        <f t="shared" si="32"/>
        <v>#DIV/0!</v>
      </c>
      <c r="L360" s="717" t="e">
        <f>L357/L$137</f>
        <v>#DIV/0!</v>
      </c>
      <c r="M360" s="1525"/>
      <c r="N360" s="1525"/>
      <c r="O360" s="1525"/>
      <c r="P360" s="1526"/>
    </row>
    <row r="361" spans="1:16" ht="13.15" customHeight="1" x14ac:dyDescent="0.2">
      <c r="I361" s="643">
        <v>87211</v>
      </c>
      <c r="J361" s="643">
        <f>I361-3000</f>
        <v>84211</v>
      </c>
      <c r="K361" s="643">
        <f>J361-3000</f>
        <v>81211</v>
      </c>
      <c r="L361" s="643">
        <f>K361-3000</f>
        <v>78211</v>
      </c>
      <c r="M361" s="1525"/>
      <c r="N361" s="1525"/>
      <c r="O361" s="1525"/>
      <c r="P361" s="1525"/>
    </row>
    <row r="362" spans="1:16" ht="13.15" customHeight="1" x14ac:dyDescent="0.2">
      <c r="I362" s="643">
        <f t="shared" ref="I362:L362" si="33">I357/I361*1000</f>
        <v>81351.343293850543</v>
      </c>
      <c r="J362" s="643">
        <f t="shared" si="33"/>
        <v>88931.88538314472</v>
      </c>
      <c r="K362" s="643">
        <f t="shared" si="33"/>
        <v>94346.824937508471</v>
      </c>
      <c r="L362" s="643">
        <f t="shared" si="33"/>
        <v>95408.574241474984</v>
      </c>
      <c r="M362" s="1525"/>
      <c r="N362" s="1525"/>
      <c r="O362" s="1525"/>
      <c r="P362" s="1525"/>
    </row>
  </sheetData>
  <mergeCells count="112">
    <mergeCell ref="C358:G358"/>
    <mergeCell ref="J350:P350"/>
    <mergeCell ref="C352:G352"/>
    <mergeCell ref="C353:G353"/>
    <mergeCell ref="C354:G354"/>
    <mergeCell ref="C355:G355"/>
    <mergeCell ref="C356:G356"/>
    <mergeCell ref="C357:G357"/>
    <mergeCell ref="C304:C305"/>
    <mergeCell ref="C319:G319"/>
    <mergeCell ref="C320:C321"/>
    <mergeCell ref="J337:M337"/>
    <mergeCell ref="K339:M339"/>
    <mergeCell ref="A347:A349"/>
    <mergeCell ref="D347:D349"/>
    <mergeCell ref="F347:F349"/>
    <mergeCell ref="C296:G296"/>
    <mergeCell ref="C299:G299"/>
    <mergeCell ref="C300:G300"/>
    <mergeCell ref="D301:G301"/>
    <mergeCell ref="D302:G302"/>
    <mergeCell ref="D303:G303"/>
    <mergeCell ref="D278:G278"/>
    <mergeCell ref="D279:G279"/>
    <mergeCell ref="C280:C281"/>
    <mergeCell ref="C288:G288"/>
    <mergeCell ref="C289:C290"/>
    <mergeCell ref="D295:G295"/>
    <mergeCell ref="C265:C266"/>
    <mergeCell ref="D271:G271"/>
    <mergeCell ref="C272:G272"/>
    <mergeCell ref="C275:G275"/>
    <mergeCell ref="C276:G276"/>
    <mergeCell ref="D277:G277"/>
    <mergeCell ref="C252:G252"/>
    <mergeCell ref="D253:G253"/>
    <mergeCell ref="D254:G254"/>
    <mergeCell ref="D255:G255"/>
    <mergeCell ref="C256:C257"/>
    <mergeCell ref="C264:G264"/>
    <mergeCell ref="C231:C232"/>
    <mergeCell ref="C239:G239"/>
    <mergeCell ref="C240:C241"/>
    <mergeCell ref="D246:G246"/>
    <mergeCell ref="C247:G247"/>
    <mergeCell ref="C251:G251"/>
    <mergeCell ref="C213:C214"/>
    <mergeCell ref="C221:G221"/>
    <mergeCell ref="C222:C223"/>
    <mergeCell ref="D228:G228"/>
    <mergeCell ref="D229:G229"/>
    <mergeCell ref="D230:G230"/>
    <mergeCell ref="C195:C196"/>
    <mergeCell ref="C203:G203"/>
    <mergeCell ref="C204:C205"/>
    <mergeCell ref="D210:G210"/>
    <mergeCell ref="D211:G211"/>
    <mergeCell ref="D212:G212"/>
    <mergeCell ref="C185:G185"/>
    <mergeCell ref="C190:G190"/>
    <mergeCell ref="C191:G191"/>
    <mergeCell ref="D192:G192"/>
    <mergeCell ref="D193:G193"/>
    <mergeCell ref="D194:G194"/>
    <mergeCell ref="D162:G162"/>
    <mergeCell ref="D163:G163"/>
    <mergeCell ref="C164:C165"/>
    <mergeCell ref="C172:G172"/>
    <mergeCell ref="C173:C174"/>
    <mergeCell ref="D184:G184"/>
    <mergeCell ref="C132:C133"/>
    <mergeCell ref="D152:G152"/>
    <mergeCell ref="C153:G153"/>
    <mergeCell ref="C159:G159"/>
    <mergeCell ref="C160:G160"/>
    <mergeCell ref="D161:G161"/>
    <mergeCell ref="D107:G107"/>
    <mergeCell ref="D108:G108"/>
    <mergeCell ref="C109:C110"/>
    <mergeCell ref="D129:G129"/>
    <mergeCell ref="D130:G130"/>
    <mergeCell ref="D131:G131"/>
    <mergeCell ref="C63:C64"/>
    <mergeCell ref="D83:G83"/>
    <mergeCell ref="D84:G84"/>
    <mergeCell ref="D85:G85"/>
    <mergeCell ref="C86:C87"/>
    <mergeCell ref="D106:G106"/>
    <mergeCell ref="C54:G54"/>
    <mergeCell ref="C58:G58"/>
    <mergeCell ref="C59:G59"/>
    <mergeCell ref="D60:G60"/>
    <mergeCell ref="D61:G61"/>
    <mergeCell ref="D62:G62"/>
    <mergeCell ref="D32:G32"/>
    <mergeCell ref="C33:C34"/>
    <mergeCell ref="D53:G53"/>
    <mergeCell ref="C9:G10"/>
    <mergeCell ref="D11:G11"/>
    <mergeCell ref="C12:C13"/>
    <mergeCell ref="D17:G17"/>
    <mergeCell ref="C18:G18"/>
    <mergeCell ref="C28:G28"/>
    <mergeCell ref="C2:G2"/>
    <mergeCell ref="C3:G3"/>
    <mergeCell ref="D5:G5"/>
    <mergeCell ref="D6:G6"/>
    <mergeCell ref="D7:G7"/>
    <mergeCell ref="C8:G8"/>
    <mergeCell ref="C29:G29"/>
    <mergeCell ref="D30:G30"/>
    <mergeCell ref="D31:G31"/>
  </mergeCells>
  <printOptions horizontalCentered="1" verticalCentered="1"/>
  <pageMargins left="7.874015748031496E-2" right="7.874015748031496E-2" top="0.39370078740157483" bottom="0.39370078740157483" header="0.31496062992125984" footer="0.31496062992125984"/>
  <pageSetup scale="81" orientation="portrait" r:id="rId1"/>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342"/>
  <sheetViews>
    <sheetView topLeftCell="A340" zoomScale="107" zoomScaleNormal="107" workbookViewId="0">
      <selection activeCell="J306" sqref="J306"/>
    </sheetView>
  </sheetViews>
  <sheetFormatPr defaultColWidth="8.85546875" defaultRowHeight="13.15" customHeight="1" x14ac:dyDescent="0.25"/>
  <cols>
    <col min="1" max="1" width="7" style="1677" customWidth="1"/>
    <col min="2" max="2" width="6" style="1677" customWidth="1"/>
    <col min="3" max="3" width="35.7109375" style="1713" customWidth="1"/>
    <col min="4" max="4" width="17.42578125" style="1713" customWidth="1"/>
    <col min="5" max="5" width="24" style="1713" customWidth="1"/>
    <col min="6" max="6" width="26.7109375" style="1713" customWidth="1"/>
    <col min="7" max="7" width="29.140625" style="1713" customWidth="1"/>
    <col min="8" max="8" width="11.140625" style="1677" customWidth="1"/>
    <col min="9" max="9" width="16" style="1677" customWidth="1"/>
    <col min="10" max="10" width="18.42578125" style="1677" customWidth="1"/>
    <col min="11" max="11" width="11" style="1677" customWidth="1"/>
    <col min="12" max="12" width="11" style="1677" bestFit="1" customWidth="1"/>
    <col min="13" max="16384" width="8.85546875" style="1677"/>
  </cols>
  <sheetData>
    <row r="2" spans="3:9" ht="13.15" customHeight="1" x14ac:dyDescent="0.25">
      <c r="C2" s="2618" t="s">
        <v>128</v>
      </c>
      <c r="D2" s="2618"/>
      <c r="E2" s="2618"/>
      <c r="F2" s="2618"/>
      <c r="G2" s="2618"/>
      <c r="H2" s="1678"/>
      <c r="I2" s="1679"/>
    </row>
    <row r="3" spans="3:9" ht="13.15" customHeight="1" thickBot="1" x14ac:dyDescent="0.3"/>
    <row r="4" spans="3:9" ht="18" customHeight="1" thickBot="1" x14ac:dyDescent="0.25">
      <c r="C4" s="1714" t="s">
        <v>20</v>
      </c>
      <c r="D4" s="2611" t="s">
        <v>1210</v>
      </c>
      <c r="E4" s="2611"/>
      <c r="F4" s="2611"/>
      <c r="G4" s="2611"/>
      <c r="H4" s="928"/>
    </row>
    <row r="5" spans="3:9" ht="20.25" customHeight="1" thickBot="1" x14ac:dyDescent="0.25">
      <c r="C5" s="1714" t="s">
        <v>4</v>
      </c>
      <c r="D5" s="2612" t="s">
        <v>367</v>
      </c>
      <c r="E5" s="2613"/>
      <c r="F5" s="2613"/>
      <c r="G5" s="2614"/>
      <c r="H5" s="927"/>
    </row>
    <row r="6" spans="3:9" ht="27" customHeight="1" thickBot="1" x14ac:dyDescent="0.25">
      <c r="C6" s="1714" t="s">
        <v>35</v>
      </c>
      <c r="D6" s="2605" t="s">
        <v>5</v>
      </c>
      <c r="E6" s="2606"/>
      <c r="F6" s="2606"/>
      <c r="G6" s="2607"/>
      <c r="H6" s="826"/>
    </row>
    <row r="7" spans="3:9" ht="21" customHeight="1" thickBot="1" x14ac:dyDescent="0.3">
      <c r="C7" s="2615" t="s">
        <v>8</v>
      </c>
      <c r="D7" s="2616"/>
      <c r="E7" s="2616"/>
      <c r="F7" s="2616"/>
      <c r="G7" s="2617"/>
      <c r="H7" s="1680"/>
    </row>
    <row r="8" spans="3:9" ht="13.15" customHeight="1" thickBot="1" x14ac:dyDescent="0.25">
      <c r="C8" s="2625" t="s">
        <v>555</v>
      </c>
      <c r="D8" s="2626"/>
      <c r="E8" s="2626"/>
      <c r="F8" s="2626"/>
      <c r="G8" s="2627"/>
      <c r="H8" s="1681"/>
    </row>
    <row r="9" spans="3:9" ht="39.75" customHeight="1" thickBot="1" x14ac:dyDescent="0.25">
      <c r="C9" s="2625"/>
      <c r="D9" s="2626"/>
      <c r="E9" s="2626"/>
      <c r="F9" s="2626"/>
      <c r="G9" s="2627"/>
      <c r="H9" s="1681"/>
    </row>
    <row r="10" spans="3:9" ht="282.75" customHeight="1" thickBot="1" x14ac:dyDescent="0.25">
      <c r="C10" s="1969" t="s">
        <v>11</v>
      </c>
      <c r="D10" s="2628" t="s">
        <v>1182</v>
      </c>
      <c r="E10" s="2629"/>
      <c r="F10" s="2629"/>
      <c r="G10" s="2630"/>
      <c r="H10" s="1682"/>
    </row>
    <row r="11" spans="3:9" ht="21" customHeight="1" x14ac:dyDescent="0.2">
      <c r="C11" s="2591" t="s">
        <v>119</v>
      </c>
      <c r="D11" s="1715">
        <v>2018</v>
      </c>
      <c r="E11" s="1715">
        <v>2019</v>
      </c>
      <c r="F11" s="1715">
        <v>2020</v>
      </c>
      <c r="G11" s="1715">
        <v>2021</v>
      </c>
      <c r="H11" s="857"/>
    </row>
    <row r="12" spans="3:9" ht="20.25" customHeight="1" thickBot="1" x14ac:dyDescent="0.25">
      <c r="C12" s="2592"/>
      <c r="D12" s="1716" t="s">
        <v>6</v>
      </c>
      <c r="E12" s="1716" t="s">
        <v>7</v>
      </c>
      <c r="F12" s="1716" t="s">
        <v>7</v>
      </c>
      <c r="G12" s="1716" t="s">
        <v>7</v>
      </c>
      <c r="H12" s="857"/>
    </row>
    <row r="13" spans="3:9" ht="21.75" customHeight="1" thickBot="1" x14ac:dyDescent="0.3">
      <c r="C13" s="1717" t="s">
        <v>777</v>
      </c>
      <c r="D13" s="1718">
        <v>120062</v>
      </c>
      <c r="E13" s="1718">
        <v>122000</v>
      </c>
      <c r="F13" s="1718">
        <v>123500</v>
      </c>
      <c r="G13" s="1718">
        <v>125000</v>
      </c>
      <c r="H13" s="1683"/>
    </row>
    <row r="14" spans="3:9" ht="30" customHeight="1" thickBot="1" x14ac:dyDescent="0.25">
      <c r="C14" s="1719" t="s">
        <v>776</v>
      </c>
      <c r="D14" s="1720">
        <v>0.95599999999999996</v>
      </c>
      <c r="E14" s="1720">
        <v>0.95899999999999996</v>
      </c>
      <c r="F14" s="1720">
        <v>0.96499999999999997</v>
      </c>
      <c r="G14" s="1721">
        <v>0.98</v>
      </c>
      <c r="H14" s="1684"/>
    </row>
    <row r="15" spans="3:9" ht="27" customHeight="1" thickBot="1" x14ac:dyDescent="0.25">
      <c r="C15" s="1719" t="s">
        <v>775</v>
      </c>
      <c r="D15" s="1722">
        <v>6300</v>
      </c>
      <c r="E15" s="1722">
        <v>6300</v>
      </c>
      <c r="F15" s="1722">
        <v>6300</v>
      </c>
      <c r="G15" s="1722">
        <v>6300</v>
      </c>
      <c r="H15" s="1685"/>
    </row>
    <row r="16" spans="3:9" ht="36.75" customHeight="1" thickBot="1" x14ac:dyDescent="0.25">
      <c r="C16" s="1723" t="s">
        <v>12</v>
      </c>
      <c r="D16" s="2599" t="s">
        <v>774</v>
      </c>
      <c r="E16" s="2600"/>
      <c r="F16" s="2600"/>
      <c r="G16" s="2601"/>
      <c r="H16" s="857"/>
    </row>
    <row r="17" spans="3:13" ht="30.75" customHeight="1" thickBot="1" x14ac:dyDescent="0.25">
      <c r="C17" s="2608" t="s">
        <v>120</v>
      </c>
      <c r="D17" s="2609"/>
      <c r="E17" s="2609"/>
      <c r="F17" s="2609"/>
      <c r="G17" s="2610"/>
      <c r="H17" s="857"/>
      <c r="K17" s="1686"/>
      <c r="M17" s="1686"/>
    </row>
    <row r="18" spans="3:13" ht="13.15" customHeight="1" x14ac:dyDescent="0.2">
      <c r="C18" s="1724"/>
      <c r="D18" s="1724">
        <v>2018</v>
      </c>
      <c r="E18" s="1724">
        <v>2019</v>
      </c>
      <c r="F18" s="1724">
        <v>2020</v>
      </c>
      <c r="G18" s="1724">
        <v>2021</v>
      </c>
      <c r="H18" s="857"/>
      <c r="K18" s="1686"/>
      <c r="M18" s="1686"/>
    </row>
    <row r="19" spans="3:13" ht="55.5" customHeight="1" thickBot="1" x14ac:dyDescent="0.25">
      <c r="C19" s="1717" t="s">
        <v>773</v>
      </c>
      <c r="D19" s="1725">
        <v>0.95799999999999996</v>
      </c>
      <c r="E19" s="1725">
        <v>0.96</v>
      </c>
      <c r="F19" s="1725">
        <v>0.97</v>
      </c>
      <c r="G19" s="1725">
        <v>0.98</v>
      </c>
      <c r="H19" s="1687"/>
    </row>
    <row r="20" spans="3:13" ht="30.75" customHeight="1" thickBot="1" x14ac:dyDescent="0.3">
      <c r="C20" s="1719" t="s">
        <v>772</v>
      </c>
      <c r="D20" s="1726">
        <v>120062</v>
      </c>
      <c r="E20" s="1726">
        <v>122000</v>
      </c>
      <c r="F20" s="1726">
        <v>123500</v>
      </c>
      <c r="G20" s="1726">
        <v>125000</v>
      </c>
      <c r="H20" s="1688"/>
    </row>
    <row r="21" spans="3:13" ht="42" customHeight="1" thickBot="1" x14ac:dyDescent="0.25">
      <c r="C21" s="1719" t="s">
        <v>771</v>
      </c>
      <c r="D21" s="1725">
        <v>0.82799999999999996</v>
      </c>
      <c r="E21" s="1725">
        <v>0.75</v>
      </c>
      <c r="F21" s="1725">
        <v>0.7</v>
      </c>
      <c r="G21" s="1725">
        <v>0.65</v>
      </c>
      <c r="H21" s="1687"/>
    </row>
    <row r="22" spans="3:13" ht="31.5" customHeight="1" thickBot="1" x14ac:dyDescent="0.3">
      <c r="C22" s="1719" t="s">
        <v>770</v>
      </c>
      <c r="D22" s="1726">
        <v>99457</v>
      </c>
      <c r="E22" s="1726">
        <f>E20*E21</f>
        <v>91500</v>
      </c>
      <c r="F22" s="1726">
        <f>F20*F21</f>
        <v>86450</v>
      </c>
      <c r="G22" s="1726">
        <f>G20*G21</f>
        <v>81250</v>
      </c>
      <c r="H22" s="1688"/>
    </row>
    <row r="23" spans="3:13" ht="48" customHeight="1" thickBot="1" x14ac:dyDescent="0.25">
      <c r="C23" s="1719" t="s">
        <v>769</v>
      </c>
      <c r="D23" s="1725">
        <v>0.17199999999999999</v>
      </c>
      <c r="E23" s="1725">
        <v>0.22</v>
      </c>
      <c r="F23" s="1725">
        <v>0.3</v>
      </c>
      <c r="G23" s="1725">
        <v>0.35</v>
      </c>
      <c r="H23" s="1687"/>
    </row>
    <row r="24" spans="3:13" ht="43.5" customHeight="1" thickBot="1" x14ac:dyDescent="0.3">
      <c r="C24" s="1719" t="s">
        <v>768</v>
      </c>
      <c r="D24" s="1726">
        <v>20605</v>
      </c>
      <c r="E24" s="1726">
        <f>E20-E22</f>
        <v>30500</v>
      </c>
      <c r="F24" s="1726">
        <f>F20-F22</f>
        <v>37050</v>
      </c>
      <c r="G24" s="1726">
        <f>G20-G22</f>
        <v>43750</v>
      </c>
      <c r="H24" s="1688"/>
    </row>
    <row r="25" spans="3:13" ht="21.75" customHeight="1" thickBot="1" x14ac:dyDescent="0.25">
      <c r="C25" s="2631" t="s">
        <v>66</v>
      </c>
      <c r="D25" s="2632"/>
      <c r="E25" s="2632"/>
      <c r="F25" s="2632"/>
      <c r="G25" s="2633"/>
      <c r="H25" s="928"/>
    </row>
    <row r="26" spans="3:13" ht="22.5" customHeight="1" thickBot="1" x14ac:dyDescent="0.25">
      <c r="C26" s="2596" t="s">
        <v>121</v>
      </c>
      <c r="D26" s="2597"/>
      <c r="E26" s="2597"/>
      <c r="F26" s="2597"/>
      <c r="G26" s="2598"/>
      <c r="H26" s="928"/>
    </row>
    <row r="27" spans="3:13" ht="33" customHeight="1" thickBot="1" x14ac:dyDescent="0.25">
      <c r="C27" s="1727" t="s">
        <v>680</v>
      </c>
      <c r="D27" s="2602" t="s">
        <v>767</v>
      </c>
      <c r="E27" s="2603"/>
      <c r="F27" s="2603"/>
      <c r="G27" s="2604"/>
      <c r="H27" s="857"/>
    </row>
    <row r="28" spans="3:13" ht="33.75" customHeight="1" thickBot="1" x14ac:dyDescent="0.25">
      <c r="C28" s="1719" t="s">
        <v>10</v>
      </c>
      <c r="D28" s="2602" t="s">
        <v>767</v>
      </c>
      <c r="E28" s="2603"/>
      <c r="F28" s="2603"/>
      <c r="G28" s="2604"/>
      <c r="H28" s="857"/>
    </row>
    <row r="29" spans="3:13" ht="20.100000000000001" customHeight="1" thickBot="1" x14ac:dyDescent="0.25">
      <c r="C29" s="1719" t="s">
        <v>13</v>
      </c>
      <c r="D29" s="2593" t="s">
        <v>766</v>
      </c>
      <c r="E29" s="2594"/>
      <c r="F29" s="2594"/>
      <c r="G29" s="2595"/>
      <c r="H29" s="847"/>
    </row>
    <row r="30" spans="3:13" ht="20.100000000000001" customHeight="1" x14ac:dyDescent="0.2">
      <c r="C30" s="2591"/>
      <c r="D30" s="1728">
        <v>2018</v>
      </c>
      <c r="E30" s="1728">
        <v>2019</v>
      </c>
      <c r="F30" s="1728">
        <v>2020</v>
      </c>
      <c r="G30" s="1728">
        <v>2021</v>
      </c>
      <c r="H30" s="826"/>
    </row>
    <row r="31" spans="3:13" ht="20.100000000000001" customHeight="1" thickBot="1" x14ac:dyDescent="0.25">
      <c r="C31" s="2592"/>
      <c r="D31" s="1728" t="s">
        <v>6</v>
      </c>
      <c r="E31" s="1728" t="s">
        <v>7</v>
      </c>
      <c r="F31" s="1728" t="s">
        <v>7</v>
      </c>
      <c r="G31" s="1728" t="s">
        <v>7</v>
      </c>
      <c r="H31" s="826"/>
    </row>
    <row r="32" spans="3:13" ht="20.100000000000001" customHeight="1" thickBot="1" x14ac:dyDescent="0.25">
      <c r="C32" s="1729" t="s">
        <v>9</v>
      </c>
      <c r="D32" s="1730">
        <v>99457</v>
      </c>
      <c r="E32" s="1731">
        <v>91500</v>
      </c>
      <c r="F32" s="1731">
        <v>86450</v>
      </c>
      <c r="G32" s="1732">
        <v>81250</v>
      </c>
      <c r="H32" s="1689"/>
    </row>
    <row r="33" spans="3:14" ht="20.100000000000001" customHeight="1" thickBot="1" x14ac:dyDescent="0.25">
      <c r="C33" s="1719" t="s">
        <v>14</v>
      </c>
      <c r="D33" s="1733">
        <f>5905389-52000</f>
        <v>5853389</v>
      </c>
      <c r="E33" s="1733">
        <f>5996098+2845</f>
        <v>5998943</v>
      </c>
      <c r="F33" s="1733">
        <f>6133975+29145</f>
        <v>6163120</v>
      </c>
      <c r="G33" s="1733">
        <f>6133975+21865</f>
        <v>6155840</v>
      </c>
      <c r="H33" s="1690"/>
    </row>
    <row r="34" spans="3:14" ht="20.100000000000001" customHeight="1" thickBot="1" x14ac:dyDescent="0.25">
      <c r="C34" s="1729" t="s">
        <v>23</v>
      </c>
      <c r="D34" s="1734">
        <f>D33/D32</f>
        <v>58.853464311209869</v>
      </c>
      <c r="E34" s="1735">
        <f>E33/E32</f>
        <v>65.56221857923498</v>
      </c>
      <c r="F34" s="1735">
        <f>F33/F32</f>
        <v>71.291150954308847</v>
      </c>
      <c r="G34" s="1736">
        <f>F34+F34*2%</f>
        <v>72.716973973395028</v>
      </c>
      <c r="H34" s="1691"/>
    </row>
    <row r="35" spans="3:14" ht="20.100000000000001" customHeight="1" thickBot="1" x14ac:dyDescent="0.25">
      <c r="C35" s="1729" t="s">
        <v>15</v>
      </c>
      <c r="D35" s="1737"/>
      <c r="E35" s="1738">
        <f t="shared" ref="E35:G37" si="0">E32/D32-1</f>
        <v>-8.00044240224419E-2</v>
      </c>
      <c r="F35" s="1738">
        <f t="shared" si="0"/>
        <v>-5.519125683060111E-2</v>
      </c>
      <c r="G35" s="1739">
        <f t="shared" si="0"/>
        <v>-6.0150375939849621E-2</v>
      </c>
      <c r="H35" s="1692"/>
      <c r="J35" s="1693"/>
      <c r="K35" s="1693"/>
      <c r="L35" s="1693"/>
      <c r="M35" s="1693"/>
      <c r="N35" s="1693"/>
    </row>
    <row r="36" spans="3:14" ht="20.100000000000001" customHeight="1" thickBot="1" x14ac:dyDescent="0.25">
      <c r="C36" s="1729" t="s">
        <v>16</v>
      </c>
      <c r="D36" s="1737"/>
      <c r="E36" s="1738">
        <f t="shared" si="0"/>
        <v>2.4866620004240225E-2</v>
      </c>
      <c r="F36" s="1738">
        <f t="shared" si="0"/>
        <v>2.7367654601819114E-2</v>
      </c>
      <c r="G36" s="1739">
        <f t="shared" si="0"/>
        <v>-1.1812199016082436E-3</v>
      </c>
      <c r="H36" s="1692"/>
    </row>
    <row r="37" spans="3:14" ht="20.100000000000001" customHeight="1" thickBot="1" x14ac:dyDescent="0.25">
      <c r="C37" s="1729" t="s">
        <v>17</v>
      </c>
      <c r="D37" s="1740"/>
      <c r="E37" s="1741">
        <f t="shared" si="0"/>
        <v>0.11399081339630324</v>
      </c>
      <c r="F37" s="1741">
        <f t="shared" si="0"/>
        <v>8.7381612447269275E-2</v>
      </c>
      <c r="G37" s="1742">
        <f t="shared" si="0"/>
        <v>2.0000000000000018E-2</v>
      </c>
      <c r="H37" s="1692"/>
    </row>
    <row r="38" spans="3:14" ht="45" customHeight="1" thickBot="1" x14ac:dyDescent="0.25">
      <c r="C38" s="1743" t="s">
        <v>1176</v>
      </c>
      <c r="D38" s="1744"/>
      <c r="E38" s="1744"/>
      <c r="F38" s="1744"/>
      <c r="G38" s="1745"/>
      <c r="H38" s="1694"/>
    </row>
    <row r="39" spans="3:14" ht="20.100000000000001" customHeight="1" x14ac:dyDescent="0.2">
      <c r="C39" s="1746"/>
      <c r="D39" s="1728">
        <v>2018</v>
      </c>
      <c r="E39" s="1728">
        <v>2019</v>
      </c>
      <c r="F39" s="1728">
        <v>2020</v>
      </c>
      <c r="G39" s="1728">
        <v>2021</v>
      </c>
      <c r="H39" s="826"/>
    </row>
    <row r="40" spans="3:14" ht="20.100000000000001" customHeight="1" thickBot="1" x14ac:dyDescent="0.25">
      <c r="C40" s="1747"/>
      <c r="D40" s="1748" t="s">
        <v>6</v>
      </c>
      <c r="E40" s="1748" t="s">
        <v>7</v>
      </c>
      <c r="F40" s="1748" t="s">
        <v>7</v>
      </c>
      <c r="G40" s="1748" t="s">
        <v>7</v>
      </c>
      <c r="H40" s="826"/>
    </row>
    <row r="41" spans="3:14" ht="20.100000000000001" customHeight="1" thickBot="1" x14ac:dyDescent="0.3">
      <c r="C41" s="1749" t="s">
        <v>0</v>
      </c>
      <c r="D41" s="1726">
        <v>4950850</v>
      </c>
      <c r="E41" s="1726">
        <v>5041529</v>
      </c>
      <c r="F41" s="1726">
        <v>5150850</v>
      </c>
      <c r="G41" s="1726">
        <v>5150850</v>
      </c>
      <c r="H41" s="1688"/>
      <c r="I41" s="1695"/>
      <c r="J41" s="1695"/>
      <c r="K41" s="1695"/>
    </row>
    <row r="42" spans="3:14" ht="33.75" customHeight="1" thickBot="1" x14ac:dyDescent="0.3">
      <c r="C42" s="1749" t="s">
        <v>49</v>
      </c>
      <c r="D42" s="1726">
        <v>856439</v>
      </c>
      <c r="E42" s="1726">
        <v>856439</v>
      </c>
      <c r="F42" s="1726">
        <v>885025</v>
      </c>
      <c r="G42" s="1726">
        <v>885025</v>
      </c>
      <c r="H42" s="1688"/>
    </row>
    <row r="43" spans="3:14" ht="20.100000000000001" customHeight="1" thickBot="1" x14ac:dyDescent="0.3">
      <c r="C43" s="1749" t="s">
        <v>1</v>
      </c>
      <c r="D43" s="1750">
        <f>98100-52000</f>
        <v>46100</v>
      </c>
      <c r="E43" s="1750">
        <f>98100+2875</f>
        <v>100975</v>
      </c>
      <c r="F43" s="1750">
        <f>98100+29145</f>
        <v>127245</v>
      </c>
      <c r="G43" s="1750">
        <f>98100+21865</f>
        <v>119965</v>
      </c>
      <c r="H43" s="1696"/>
    </row>
    <row r="44" spans="3:14" ht="20.100000000000001" customHeight="1" thickBot="1" x14ac:dyDescent="0.3">
      <c r="C44" s="1749" t="s">
        <v>2</v>
      </c>
      <c r="D44" s="1750">
        <v>0</v>
      </c>
      <c r="E44" s="1726"/>
      <c r="F44" s="1726"/>
      <c r="G44" s="1726"/>
      <c r="H44" s="1688"/>
    </row>
    <row r="45" spans="3:14" ht="20.100000000000001" customHeight="1" thickBot="1" x14ac:dyDescent="0.3">
      <c r="C45" s="1749" t="s">
        <v>28</v>
      </c>
      <c r="D45" s="1750">
        <v>0</v>
      </c>
      <c r="E45" s="1726"/>
      <c r="F45" s="1726"/>
      <c r="G45" s="1726"/>
      <c r="H45" s="1688"/>
    </row>
    <row r="46" spans="3:14" ht="20.100000000000001" customHeight="1" thickBot="1" x14ac:dyDescent="0.3">
      <c r="C46" s="1749" t="s">
        <v>30</v>
      </c>
      <c r="D46" s="1750">
        <v>0</v>
      </c>
      <c r="E46" s="1726"/>
      <c r="F46" s="1726"/>
      <c r="G46" s="1726"/>
      <c r="H46" s="1688"/>
    </row>
    <row r="47" spans="3:14" ht="30" customHeight="1" thickBot="1" x14ac:dyDescent="0.3">
      <c r="C47" s="1749" t="s">
        <v>3</v>
      </c>
      <c r="D47" s="1750"/>
      <c r="E47" s="1750"/>
      <c r="F47" s="1750"/>
      <c r="G47" s="1750"/>
      <c r="H47" s="1696"/>
    </row>
    <row r="48" spans="3:14" ht="20.100000000000001" customHeight="1" thickBot="1" x14ac:dyDescent="0.3">
      <c r="C48" s="1751" t="s">
        <v>764</v>
      </c>
      <c r="D48" s="1750">
        <f>SUM(D41:D47)</f>
        <v>5853389</v>
      </c>
      <c r="E48" s="1750">
        <f>SUM(E41:E47)</f>
        <v>5998943</v>
      </c>
      <c r="F48" s="1750">
        <f>SUM(F41:F47)</f>
        <v>6163120</v>
      </c>
      <c r="G48" s="1750">
        <f>SUM(G41:G47)</f>
        <v>6155840</v>
      </c>
      <c r="H48" s="1696"/>
    </row>
    <row r="49" spans="3:13" ht="20.100000000000001" customHeight="1" thickBot="1" x14ac:dyDescent="0.25">
      <c r="C49" s="1752" t="s">
        <v>70</v>
      </c>
      <c r="D49" s="1753">
        <f>D48-D33</f>
        <v>0</v>
      </c>
      <c r="E49" s="1753">
        <f>E48-E33</f>
        <v>0</v>
      </c>
      <c r="F49" s="1753">
        <f>F48-F33</f>
        <v>0</v>
      </c>
      <c r="G49" s="1753">
        <f>G48-G33</f>
        <v>0</v>
      </c>
      <c r="H49" s="1697"/>
    </row>
    <row r="50" spans="3:13" ht="78" customHeight="1" thickBot="1" x14ac:dyDescent="0.25">
      <c r="C50" s="1723" t="s">
        <v>22</v>
      </c>
      <c r="D50" s="2619" t="s">
        <v>763</v>
      </c>
      <c r="E50" s="2620"/>
      <c r="F50" s="2620"/>
      <c r="G50" s="2621"/>
      <c r="H50" s="857"/>
    </row>
    <row r="51" spans="3:13" ht="20.100000000000001" customHeight="1" thickBot="1" x14ac:dyDescent="0.25">
      <c r="C51" s="2602" t="s">
        <v>495</v>
      </c>
      <c r="D51" s="2603"/>
      <c r="E51" s="2603"/>
      <c r="F51" s="2603"/>
      <c r="G51" s="2604"/>
      <c r="H51" s="857"/>
      <c r="K51" s="1686"/>
      <c r="M51" s="1686"/>
    </row>
    <row r="52" spans="3:13" ht="20.100000000000001" customHeight="1" x14ac:dyDescent="0.2">
      <c r="C52" s="1724"/>
      <c r="D52" s="1724">
        <v>2018</v>
      </c>
      <c r="E52" s="1724">
        <v>2019</v>
      </c>
      <c r="F52" s="1724">
        <v>2020</v>
      </c>
      <c r="G52" s="1724">
        <v>2021</v>
      </c>
      <c r="H52" s="857"/>
      <c r="K52" s="1686"/>
      <c r="M52" s="1686"/>
    </row>
    <row r="53" spans="3:13" ht="36.75" customHeight="1" thickBot="1" x14ac:dyDescent="0.25">
      <c r="C53" s="1717" t="s">
        <v>762</v>
      </c>
      <c r="D53" s="1722">
        <v>1400</v>
      </c>
      <c r="E53" s="1722">
        <v>1400</v>
      </c>
      <c r="F53" s="1722">
        <v>1400</v>
      </c>
      <c r="G53" s="1722">
        <v>1400</v>
      </c>
      <c r="H53" s="1685"/>
    </row>
    <row r="54" spans="3:13" ht="33.75" customHeight="1" thickBot="1" x14ac:dyDescent="0.25">
      <c r="C54" s="1717" t="s">
        <v>761</v>
      </c>
      <c r="D54" s="1721">
        <v>0.6</v>
      </c>
      <c r="E54" s="1721">
        <v>0.25</v>
      </c>
      <c r="F54" s="1721">
        <v>0.25</v>
      </c>
      <c r="G54" s="1721">
        <v>0.25</v>
      </c>
      <c r="H54" s="1684"/>
    </row>
    <row r="55" spans="3:13" ht="20.100000000000001" customHeight="1" thickBot="1" x14ac:dyDescent="0.25">
      <c r="C55" s="2596" t="s">
        <v>67</v>
      </c>
      <c r="D55" s="2597"/>
      <c r="E55" s="2597"/>
      <c r="F55" s="2597"/>
      <c r="G55" s="2598"/>
      <c r="H55" s="928"/>
    </row>
    <row r="56" spans="3:13" ht="20.100000000000001" customHeight="1" thickBot="1" x14ac:dyDescent="0.25">
      <c r="C56" s="2596" t="s">
        <v>121</v>
      </c>
      <c r="D56" s="2597"/>
      <c r="E56" s="2597"/>
      <c r="F56" s="2597"/>
      <c r="G56" s="2598"/>
      <c r="H56" s="928"/>
    </row>
    <row r="57" spans="3:13" ht="41.25" customHeight="1" thickBot="1" x14ac:dyDescent="0.25">
      <c r="C57" s="1727" t="s">
        <v>669</v>
      </c>
      <c r="D57" s="2608" t="s">
        <v>760</v>
      </c>
      <c r="E57" s="2609"/>
      <c r="F57" s="2609"/>
      <c r="G57" s="2610"/>
      <c r="H57" s="857"/>
    </row>
    <row r="58" spans="3:13" ht="33" customHeight="1" thickBot="1" x14ac:dyDescent="0.25">
      <c r="C58" s="1719" t="s">
        <v>10</v>
      </c>
      <c r="D58" s="2608" t="s">
        <v>760</v>
      </c>
      <c r="E58" s="2609"/>
      <c r="F58" s="2609"/>
      <c r="G58" s="2610"/>
      <c r="H58" s="857"/>
    </row>
    <row r="59" spans="3:13" ht="20.100000000000001" customHeight="1" thickBot="1" x14ac:dyDescent="0.25">
      <c r="C59" s="1719" t="s">
        <v>13</v>
      </c>
      <c r="D59" s="2593" t="s">
        <v>759</v>
      </c>
      <c r="E59" s="2594"/>
      <c r="F59" s="2594"/>
      <c r="G59" s="2595"/>
      <c r="H59" s="847"/>
    </row>
    <row r="60" spans="3:13" ht="20.100000000000001" customHeight="1" x14ac:dyDescent="0.2">
      <c r="C60" s="2591"/>
      <c r="D60" s="1728">
        <v>2018</v>
      </c>
      <c r="E60" s="1728">
        <v>2019</v>
      </c>
      <c r="F60" s="1728">
        <v>2020</v>
      </c>
      <c r="G60" s="1728">
        <v>2021</v>
      </c>
      <c r="H60" s="826"/>
    </row>
    <row r="61" spans="3:13" ht="20.100000000000001" customHeight="1" thickBot="1" x14ac:dyDescent="0.25">
      <c r="C61" s="2592"/>
      <c r="D61" s="1748" t="s">
        <v>6</v>
      </c>
      <c r="E61" s="1748" t="s">
        <v>7</v>
      </c>
      <c r="F61" s="1748" t="s">
        <v>7</v>
      </c>
      <c r="G61" s="1748" t="s">
        <v>7</v>
      </c>
      <c r="H61" s="826"/>
    </row>
    <row r="62" spans="3:13" ht="20.100000000000001" customHeight="1" thickBot="1" x14ac:dyDescent="0.25">
      <c r="C62" s="1754" t="s">
        <v>9</v>
      </c>
      <c r="D62" s="1755">
        <v>1400</v>
      </c>
      <c r="E62" s="1755">
        <v>1400</v>
      </c>
      <c r="F62" s="1755">
        <v>1400</v>
      </c>
      <c r="G62" s="1756">
        <v>1400</v>
      </c>
      <c r="H62" s="1698"/>
    </row>
    <row r="63" spans="3:13" ht="20.100000000000001" customHeight="1" thickBot="1" x14ac:dyDescent="0.25">
      <c r="C63" s="1719" t="s">
        <v>14</v>
      </c>
      <c r="D63" s="1757">
        <v>10000</v>
      </c>
      <c r="E63" s="1757">
        <v>12000</v>
      </c>
      <c r="F63" s="1757">
        <v>12480</v>
      </c>
      <c r="G63" s="1758">
        <v>12960</v>
      </c>
      <c r="H63" s="1699"/>
    </row>
    <row r="64" spans="3:13" ht="20.100000000000001" customHeight="1" thickBot="1" x14ac:dyDescent="0.25">
      <c r="C64" s="1719" t="s">
        <v>23</v>
      </c>
      <c r="D64" s="1757">
        <f>D63/D62</f>
        <v>7.1428571428571432</v>
      </c>
      <c r="E64" s="1757">
        <f>E63/E62</f>
        <v>8.5714285714285712</v>
      </c>
      <c r="F64" s="1757">
        <f>F63/F62</f>
        <v>8.9142857142857146</v>
      </c>
      <c r="G64" s="1758">
        <f>G63/G62</f>
        <v>9.257142857142858</v>
      </c>
      <c r="H64" s="1699"/>
    </row>
    <row r="65" spans="3:14" ht="20.100000000000001" customHeight="1" thickBot="1" x14ac:dyDescent="0.25">
      <c r="C65" s="1719" t="s">
        <v>15</v>
      </c>
      <c r="D65" s="1759"/>
      <c r="E65" s="1738">
        <f t="shared" ref="E65:G67" si="1">E62/D62-1</f>
        <v>0</v>
      </c>
      <c r="F65" s="1738">
        <f t="shared" si="1"/>
        <v>0</v>
      </c>
      <c r="G65" s="1760">
        <f t="shared" si="1"/>
        <v>0</v>
      </c>
      <c r="H65" s="1692"/>
      <c r="J65" s="1693"/>
      <c r="K65" s="1693"/>
      <c r="L65" s="1693"/>
      <c r="M65" s="1693"/>
      <c r="N65" s="1693"/>
    </row>
    <row r="66" spans="3:14" ht="20.100000000000001" customHeight="1" thickBot="1" x14ac:dyDescent="0.25">
      <c r="C66" s="1719" t="s">
        <v>16</v>
      </c>
      <c r="D66" s="1759"/>
      <c r="E66" s="1738">
        <f t="shared" si="1"/>
        <v>0.19999999999999996</v>
      </c>
      <c r="F66" s="1738">
        <f t="shared" si="1"/>
        <v>4.0000000000000036E-2</v>
      </c>
      <c r="G66" s="1760">
        <f t="shared" si="1"/>
        <v>3.8461538461538547E-2</v>
      </c>
      <c r="H66" s="1692"/>
    </row>
    <row r="67" spans="3:14" ht="20.100000000000001" customHeight="1" thickBot="1" x14ac:dyDescent="0.25">
      <c r="C67" s="1719" t="s">
        <v>17</v>
      </c>
      <c r="D67" s="1761"/>
      <c r="E67" s="1762">
        <f t="shared" si="1"/>
        <v>0.19999999999999996</v>
      </c>
      <c r="F67" s="1762">
        <f t="shared" si="1"/>
        <v>4.0000000000000036E-2</v>
      </c>
      <c r="G67" s="1763">
        <f t="shared" si="1"/>
        <v>3.8461538461538547E-2</v>
      </c>
      <c r="H67" s="1692"/>
    </row>
    <row r="68" spans="3:14" ht="40.5" customHeight="1" thickBot="1" x14ac:dyDescent="0.25">
      <c r="C68" s="1743" t="s">
        <v>1177</v>
      </c>
      <c r="D68" s="1764"/>
      <c r="E68" s="1764"/>
      <c r="F68" s="1764"/>
      <c r="G68" s="1765"/>
      <c r="H68" s="1694"/>
    </row>
    <row r="69" spans="3:14" ht="20.100000000000001" customHeight="1" x14ac:dyDescent="0.2">
      <c r="C69" s="1746"/>
      <c r="D69" s="1728">
        <v>2018</v>
      </c>
      <c r="E69" s="1728">
        <v>2019</v>
      </c>
      <c r="F69" s="1728">
        <v>2020</v>
      </c>
      <c r="G69" s="1728">
        <v>2021</v>
      </c>
      <c r="H69" s="826"/>
    </row>
    <row r="70" spans="3:14" ht="20.100000000000001" customHeight="1" thickBot="1" x14ac:dyDescent="0.25">
      <c r="C70" s="1747"/>
      <c r="D70" s="1748" t="s">
        <v>6</v>
      </c>
      <c r="E70" s="1748" t="s">
        <v>7</v>
      </c>
      <c r="F70" s="1748" t="s">
        <v>7</v>
      </c>
      <c r="G70" s="1748" t="s">
        <v>7</v>
      </c>
      <c r="H70" s="826"/>
    </row>
    <row r="71" spans="3:14" ht="20.100000000000001" customHeight="1" thickBot="1" x14ac:dyDescent="0.25">
      <c r="C71" s="1749" t="s">
        <v>0</v>
      </c>
      <c r="D71" s="1766">
        <v>0</v>
      </c>
      <c r="E71" s="1766"/>
      <c r="F71" s="1766"/>
      <c r="G71" s="1766"/>
      <c r="H71" s="1700"/>
    </row>
    <row r="72" spans="3:14" ht="33" customHeight="1" thickBot="1" x14ac:dyDescent="0.25">
      <c r="C72" s="1749" t="s">
        <v>49</v>
      </c>
      <c r="D72" s="1766">
        <v>0</v>
      </c>
      <c r="E72" s="1766"/>
      <c r="F72" s="1766"/>
      <c r="G72" s="1766"/>
      <c r="H72" s="1700"/>
    </row>
    <row r="73" spans="3:14" ht="20.100000000000001" customHeight="1" thickBot="1" x14ac:dyDescent="0.25">
      <c r="C73" s="1749" t="s">
        <v>1</v>
      </c>
      <c r="D73" s="1767">
        <f>D63</f>
        <v>10000</v>
      </c>
      <c r="E73" s="1767">
        <f>E63</f>
        <v>12000</v>
      </c>
      <c r="F73" s="1767">
        <f>F63</f>
        <v>12480</v>
      </c>
      <c r="G73" s="1767">
        <f>G63</f>
        <v>12960</v>
      </c>
      <c r="H73" s="1701"/>
    </row>
    <row r="74" spans="3:14" ht="20.100000000000001" customHeight="1" thickBot="1" x14ac:dyDescent="0.25">
      <c r="C74" s="1749" t="s">
        <v>2</v>
      </c>
      <c r="D74" s="1767">
        <v>0</v>
      </c>
      <c r="E74" s="1766"/>
      <c r="F74" s="1766"/>
      <c r="G74" s="1766"/>
      <c r="H74" s="1700"/>
    </row>
    <row r="75" spans="3:14" ht="20.100000000000001" customHeight="1" thickBot="1" x14ac:dyDescent="0.25">
      <c r="C75" s="1749" t="s">
        <v>28</v>
      </c>
      <c r="D75" s="1767">
        <v>0</v>
      </c>
      <c r="E75" s="1766"/>
      <c r="F75" s="1766"/>
      <c r="G75" s="1766"/>
      <c r="H75" s="1700"/>
    </row>
    <row r="76" spans="3:14" ht="20.100000000000001" customHeight="1" thickBot="1" x14ac:dyDescent="0.25">
      <c r="C76" s="1749" t="s">
        <v>30</v>
      </c>
      <c r="D76" s="1767">
        <v>0</v>
      </c>
      <c r="E76" s="1766"/>
      <c r="F76" s="1766"/>
      <c r="G76" s="1766"/>
      <c r="H76" s="1700"/>
    </row>
    <row r="77" spans="3:14" ht="20.100000000000001" customHeight="1" thickBot="1" x14ac:dyDescent="0.25">
      <c r="C77" s="1749" t="s">
        <v>3</v>
      </c>
      <c r="D77" s="1767"/>
      <c r="E77" s="1767"/>
      <c r="F77" s="1767"/>
      <c r="G77" s="1767"/>
      <c r="H77" s="1701"/>
    </row>
    <row r="78" spans="3:14" ht="20.100000000000001" customHeight="1" thickBot="1" x14ac:dyDescent="0.25">
      <c r="C78" s="1751" t="s">
        <v>68</v>
      </c>
      <c r="D78" s="1767">
        <f>SUM(D71:D77)</f>
        <v>10000</v>
      </c>
      <c r="E78" s="1767">
        <f>SUM(E71:E77)</f>
        <v>12000</v>
      </c>
      <c r="F78" s="1767">
        <f>SUM(F71:F77)</f>
        <v>12480</v>
      </c>
      <c r="G78" s="1767">
        <f>SUM(G71:G77)</f>
        <v>12960</v>
      </c>
      <c r="H78" s="1701"/>
    </row>
    <row r="79" spans="3:14" ht="20.100000000000001" customHeight="1" thickBot="1" x14ac:dyDescent="0.25">
      <c r="C79" s="1752" t="s">
        <v>70</v>
      </c>
      <c r="D79" s="1753">
        <f>D63-D78</f>
        <v>0</v>
      </c>
      <c r="E79" s="1753">
        <f>E63-E78</f>
        <v>0</v>
      </c>
      <c r="F79" s="1753">
        <f>F63-F78</f>
        <v>0</v>
      </c>
      <c r="G79" s="1753">
        <f>G63-G78</f>
        <v>0</v>
      </c>
      <c r="H79" s="1697"/>
    </row>
    <row r="80" spans="3:14" ht="48" customHeight="1" thickBot="1" x14ac:dyDescent="0.25">
      <c r="C80" s="1727" t="s">
        <v>666</v>
      </c>
      <c r="D80" s="2608" t="s">
        <v>758</v>
      </c>
      <c r="E80" s="2609"/>
      <c r="F80" s="2609"/>
      <c r="G80" s="2610"/>
      <c r="H80" s="857"/>
    </row>
    <row r="81" spans="3:14" ht="51" customHeight="1" thickBot="1" x14ac:dyDescent="0.25">
      <c r="C81" s="1719" t="s">
        <v>10</v>
      </c>
      <c r="D81" s="2608" t="s">
        <v>758</v>
      </c>
      <c r="E81" s="2609"/>
      <c r="F81" s="2609"/>
      <c r="G81" s="2610"/>
      <c r="H81" s="857"/>
    </row>
    <row r="82" spans="3:14" ht="20.100000000000001" customHeight="1" thickBot="1" x14ac:dyDescent="0.25">
      <c r="C82" s="1719" t="s">
        <v>13</v>
      </c>
      <c r="D82" s="2593" t="s">
        <v>757</v>
      </c>
      <c r="E82" s="2594"/>
      <c r="F82" s="2594"/>
      <c r="G82" s="2595"/>
      <c r="H82" s="847"/>
    </row>
    <row r="83" spans="3:14" ht="20.100000000000001" customHeight="1" x14ac:dyDescent="0.2">
      <c r="C83" s="2591"/>
      <c r="D83" s="1728">
        <v>2018</v>
      </c>
      <c r="E83" s="1728">
        <v>2019</v>
      </c>
      <c r="F83" s="1728">
        <v>2020</v>
      </c>
      <c r="G83" s="1728">
        <v>2021</v>
      </c>
      <c r="H83" s="826"/>
    </row>
    <row r="84" spans="3:14" ht="20.100000000000001" customHeight="1" thickBot="1" x14ac:dyDescent="0.25">
      <c r="C84" s="2592"/>
      <c r="D84" s="1748" t="s">
        <v>6</v>
      </c>
      <c r="E84" s="1748" t="s">
        <v>7</v>
      </c>
      <c r="F84" s="1748" t="s">
        <v>7</v>
      </c>
      <c r="G84" s="1748" t="s">
        <v>7</v>
      </c>
      <c r="H84" s="826"/>
    </row>
    <row r="85" spans="3:14" ht="20.100000000000001" customHeight="1" thickBot="1" x14ac:dyDescent="0.25">
      <c r="C85" s="1719" t="s">
        <v>9</v>
      </c>
      <c r="D85" s="1768">
        <v>1400</v>
      </c>
      <c r="E85" s="1768">
        <v>1400</v>
      </c>
      <c r="F85" s="1768">
        <v>1400</v>
      </c>
      <c r="G85" s="1768">
        <v>1400</v>
      </c>
      <c r="H85" s="1702"/>
    </row>
    <row r="86" spans="3:14" ht="20.100000000000001" customHeight="1" thickBot="1" x14ac:dyDescent="0.25">
      <c r="C86" s="1719" t="s">
        <v>14</v>
      </c>
      <c r="D86" s="1757">
        <v>12000</v>
      </c>
      <c r="E86" s="1757">
        <v>12000</v>
      </c>
      <c r="F86" s="1757">
        <v>12000</v>
      </c>
      <c r="G86" s="1757">
        <v>12000</v>
      </c>
      <c r="H86" s="1699"/>
    </row>
    <row r="87" spans="3:14" ht="20.100000000000001" customHeight="1" thickBot="1" x14ac:dyDescent="0.25">
      <c r="C87" s="1719" t="s">
        <v>23</v>
      </c>
      <c r="D87" s="1757">
        <v>300</v>
      </c>
      <c r="E87" s="1757">
        <v>300</v>
      </c>
      <c r="F87" s="1757">
        <v>300</v>
      </c>
      <c r="G87" s="1757">
        <v>300</v>
      </c>
      <c r="H87" s="1699"/>
    </row>
    <row r="88" spans="3:14" ht="20.100000000000001" customHeight="1" thickBot="1" x14ac:dyDescent="0.25">
      <c r="C88" s="1719" t="s">
        <v>15</v>
      </c>
      <c r="D88" s="1759"/>
      <c r="E88" s="1738">
        <f t="shared" ref="E88:G90" si="2">E85/D85-1</f>
        <v>0</v>
      </c>
      <c r="F88" s="1738">
        <f t="shared" si="2"/>
        <v>0</v>
      </c>
      <c r="G88" s="1738">
        <f t="shared" si="2"/>
        <v>0</v>
      </c>
      <c r="H88" s="1692"/>
      <c r="J88" s="1693"/>
      <c r="K88" s="1693"/>
      <c r="L88" s="1693"/>
      <c r="M88" s="1693"/>
      <c r="N88" s="1693"/>
    </row>
    <row r="89" spans="3:14" ht="20.100000000000001" customHeight="1" thickBot="1" x14ac:dyDescent="0.25">
      <c r="C89" s="1719" t="s">
        <v>16</v>
      </c>
      <c r="D89" s="1759"/>
      <c r="E89" s="1738">
        <f t="shared" si="2"/>
        <v>0</v>
      </c>
      <c r="F89" s="1738">
        <f t="shared" si="2"/>
        <v>0</v>
      </c>
      <c r="G89" s="1738">
        <f t="shared" si="2"/>
        <v>0</v>
      </c>
      <c r="H89" s="1692"/>
    </row>
    <row r="90" spans="3:14" ht="20.100000000000001" customHeight="1" thickBot="1" x14ac:dyDescent="0.25">
      <c r="C90" s="1719" t="s">
        <v>17</v>
      </c>
      <c r="D90" s="1759"/>
      <c r="E90" s="1738">
        <f t="shared" si="2"/>
        <v>0</v>
      </c>
      <c r="F90" s="1738">
        <f t="shared" si="2"/>
        <v>0</v>
      </c>
      <c r="G90" s="1738">
        <f t="shared" si="2"/>
        <v>0</v>
      </c>
      <c r="H90" s="1692"/>
    </row>
    <row r="91" spans="3:14" ht="39.75" customHeight="1" thickBot="1" x14ac:dyDescent="0.25">
      <c r="C91" s="1743" t="s">
        <v>1183</v>
      </c>
      <c r="D91" s="1764"/>
      <c r="E91" s="1764"/>
      <c r="F91" s="1764"/>
      <c r="G91" s="1765"/>
      <c r="H91" s="1694"/>
    </row>
    <row r="92" spans="3:14" ht="20.100000000000001" customHeight="1" x14ac:dyDescent="0.2">
      <c r="C92" s="1746"/>
      <c r="D92" s="1728">
        <v>2018</v>
      </c>
      <c r="E92" s="1728">
        <v>2019</v>
      </c>
      <c r="F92" s="1728">
        <v>2020</v>
      </c>
      <c r="G92" s="1728">
        <v>2021</v>
      </c>
      <c r="H92" s="826"/>
    </row>
    <row r="93" spans="3:14" ht="20.100000000000001" customHeight="1" thickBot="1" x14ac:dyDescent="0.25">
      <c r="C93" s="1747"/>
      <c r="D93" s="1748" t="s">
        <v>6</v>
      </c>
      <c r="E93" s="1748" t="s">
        <v>7</v>
      </c>
      <c r="F93" s="1748" t="s">
        <v>7</v>
      </c>
      <c r="G93" s="1748" t="s">
        <v>7</v>
      </c>
      <c r="H93" s="826"/>
    </row>
    <row r="94" spans="3:14" ht="20.100000000000001" customHeight="1" thickBot="1" x14ac:dyDescent="0.25">
      <c r="C94" s="1749" t="s">
        <v>0</v>
      </c>
      <c r="D94" s="1766">
        <v>0</v>
      </c>
      <c r="E94" s="1766"/>
      <c r="F94" s="1766"/>
      <c r="G94" s="1766"/>
      <c r="H94" s="1700"/>
    </row>
    <row r="95" spans="3:14" ht="20.100000000000001" customHeight="1" thickBot="1" x14ac:dyDescent="0.25">
      <c r="C95" s="1749" t="s">
        <v>49</v>
      </c>
      <c r="D95" s="1766">
        <v>0</v>
      </c>
      <c r="E95" s="1766"/>
      <c r="F95" s="1766"/>
      <c r="G95" s="1766"/>
      <c r="H95" s="1700"/>
    </row>
    <row r="96" spans="3:14" ht="20.100000000000001" customHeight="1" thickBot="1" x14ac:dyDescent="0.25">
      <c r="C96" s="1749" t="s">
        <v>1</v>
      </c>
      <c r="D96" s="1767">
        <f>D86</f>
        <v>12000</v>
      </c>
      <c r="E96" s="1767">
        <f>E86</f>
        <v>12000</v>
      </c>
      <c r="F96" s="1767">
        <f>F86</f>
        <v>12000</v>
      </c>
      <c r="G96" s="1767">
        <f>G86</f>
        <v>12000</v>
      </c>
      <c r="H96" s="1701"/>
    </row>
    <row r="97" spans="3:14" ht="20.100000000000001" customHeight="1" thickBot="1" x14ac:dyDescent="0.25">
      <c r="C97" s="1749" t="s">
        <v>2</v>
      </c>
      <c r="D97" s="1767">
        <v>0</v>
      </c>
      <c r="E97" s="1766"/>
      <c r="F97" s="1766"/>
      <c r="G97" s="1766"/>
      <c r="H97" s="1700"/>
    </row>
    <row r="98" spans="3:14" ht="20.100000000000001" customHeight="1" thickBot="1" x14ac:dyDescent="0.25">
      <c r="C98" s="1749" t="s">
        <v>28</v>
      </c>
      <c r="D98" s="1767">
        <v>0</v>
      </c>
      <c r="E98" s="1766"/>
      <c r="F98" s="1766"/>
      <c r="G98" s="1766"/>
      <c r="H98" s="1700"/>
    </row>
    <row r="99" spans="3:14" ht="20.100000000000001" customHeight="1" thickBot="1" x14ac:dyDescent="0.25">
      <c r="C99" s="1749" t="s">
        <v>30</v>
      </c>
      <c r="D99" s="1767">
        <v>0</v>
      </c>
      <c r="E99" s="1766"/>
      <c r="F99" s="1766"/>
      <c r="G99" s="1766"/>
      <c r="H99" s="1700"/>
    </row>
    <row r="100" spans="3:14" ht="20.100000000000001" customHeight="1" thickBot="1" x14ac:dyDescent="0.25">
      <c r="C100" s="1749" t="s">
        <v>3</v>
      </c>
      <c r="D100" s="1767"/>
      <c r="E100" s="1767"/>
      <c r="F100" s="1767"/>
      <c r="G100" s="1767"/>
      <c r="H100" s="1701"/>
    </row>
    <row r="101" spans="3:14" ht="20.100000000000001" customHeight="1" thickBot="1" x14ac:dyDescent="0.25">
      <c r="C101" s="1751" t="s">
        <v>641</v>
      </c>
      <c r="D101" s="1767">
        <f>SUM(D94:D100)</f>
        <v>12000</v>
      </c>
      <c r="E101" s="1767">
        <f>SUM(E94:E100)</f>
        <v>12000</v>
      </c>
      <c r="F101" s="1767">
        <f>SUM(F94:F100)</f>
        <v>12000</v>
      </c>
      <c r="G101" s="1767">
        <f>SUM(G94:G100)</f>
        <v>12000</v>
      </c>
      <c r="H101" s="1701"/>
    </row>
    <row r="102" spans="3:14" ht="20.100000000000001" customHeight="1" thickBot="1" x14ac:dyDescent="0.25">
      <c r="C102" s="1752" t="s">
        <v>70</v>
      </c>
      <c r="D102" s="1753">
        <f>D101-D86</f>
        <v>0</v>
      </c>
      <c r="E102" s="1753">
        <f>E101-E86</f>
        <v>0</v>
      </c>
      <c r="F102" s="1753">
        <f>F101-F86</f>
        <v>0</v>
      </c>
      <c r="G102" s="1753">
        <f>G101-G86</f>
        <v>0</v>
      </c>
      <c r="H102" s="1697"/>
    </row>
    <row r="103" spans="3:14" ht="54" customHeight="1" thickBot="1" x14ac:dyDescent="0.25">
      <c r="C103" s="1727" t="s">
        <v>756</v>
      </c>
      <c r="D103" s="2602" t="s">
        <v>755</v>
      </c>
      <c r="E103" s="2603"/>
      <c r="F103" s="2603"/>
      <c r="G103" s="2604"/>
      <c r="H103" s="857"/>
    </row>
    <row r="104" spans="3:14" ht="57" customHeight="1" thickBot="1" x14ac:dyDescent="0.25">
      <c r="C104" s="1719" t="s">
        <v>10</v>
      </c>
      <c r="D104" s="2602" t="s">
        <v>755</v>
      </c>
      <c r="E104" s="2603"/>
      <c r="F104" s="2603"/>
      <c r="G104" s="2604"/>
      <c r="H104" s="857"/>
    </row>
    <row r="105" spans="3:14" ht="20.100000000000001" customHeight="1" thickBot="1" x14ac:dyDescent="0.25">
      <c r="C105" s="1719" t="s">
        <v>13</v>
      </c>
      <c r="D105" s="2593" t="s">
        <v>754</v>
      </c>
      <c r="E105" s="2594"/>
      <c r="F105" s="2594"/>
      <c r="G105" s="2595"/>
      <c r="H105" s="847"/>
    </row>
    <row r="106" spans="3:14" ht="20.100000000000001" customHeight="1" x14ac:dyDescent="0.2">
      <c r="C106" s="2591"/>
      <c r="D106" s="1728">
        <v>2018</v>
      </c>
      <c r="E106" s="1728">
        <v>2019</v>
      </c>
      <c r="F106" s="1728">
        <v>2020</v>
      </c>
      <c r="G106" s="1728">
        <v>2021</v>
      </c>
      <c r="H106" s="826"/>
    </row>
    <row r="107" spans="3:14" ht="20.100000000000001" customHeight="1" thickBot="1" x14ac:dyDescent="0.25">
      <c r="C107" s="2592"/>
      <c r="D107" s="1748" t="s">
        <v>6</v>
      </c>
      <c r="E107" s="1748" t="s">
        <v>7</v>
      </c>
      <c r="F107" s="1748" t="s">
        <v>7</v>
      </c>
      <c r="G107" s="1748" t="s">
        <v>7</v>
      </c>
      <c r="H107" s="826"/>
    </row>
    <row r="108" spans="3:14" ht="20.100000000000001" customHeight="1" thickBot="1" x14ac:dyDescent="0.25">
      <c r="C108" s="1719" t="s">
        <v>9</v>
      </c>
      <c r="D108" s="1971">
        <v>18000</v>
      </c>
      <c r="E108" s="1971">
        <v>18000</v>
      </c>
      <c r="F108" s="1971">
        <v>18000</v>
      </c>
      <c r="G108" s="1971">
        <v>18000</v>
      </c>
      <c r="H108" s="1698"/>
    </row>
    <row r="109" spans="3:14" ht="20.100000000000001" customHeight="1" thickBot="1" x14ac:dyDescent="0.25">
      <c r="C109" s="1719" t="s">
        <v>14</v>
      </c>
      <c r="D109" s="1972">
        <v>70000</v>
      </c>
      <c r="E109" s="1972">
        <v>72000</v>
      </c>
      <c r="F109" s="1972">
        <v>74000</v>
      </c>
      <c r="G109" s="1972">
        <v>76000</v>
      </c>
      <c r="H109" s="1703"/>
    </row>
    <row r="110" spans="3:14" ht="20.100000000000001" customHeight="1" thickBot="1" x14ac:dyDescent="0.25">
      <c r="C110" s="1719" t="s">
        <v>23</v>
      </c>
      <c r="D110" s="1973">
        <f>D109/D108</f>
        <v>3.8888888888888888</v>
      </c>
      <c r="E110" s="1973">
        <f>E109/E108</f>
        <v>4</v>
      </c>
      <c r="F110" s="1973">
        <f>F109/F108</f>
        <v>4.1111111111111107</v>
      </c>
      <c r="G110" s="1973">
        <f>G109/G108</f>
        <v>4.2222222222222223</v>
      </c>
      <c r="H110" s="1699"/>
    </row>
    <row r="111" spans="3:14" ht="20.100000000000001" customHeight="1" thickBot="1" x14ac:dyDescent="0.25">
      <c r="C111" s="1719" t="s">
        <v>15</v>
      </c>
      <c r="D111" s="1974"/>
      <c r="E111" s="1975">
        <f t="shared" ref="E111:G113" si="3">E108/D108-1</f>
        <v>0</v>
      </c>
      <c r="F111" s="1975">
        <f t="shared" si="3"/>
        <v>0</v>
      </c>
      <c r="G111" s="1975">
        <f t="shared" si="3"/>
        <v>0</v>
      </c>
      <c r="H111" s="1692"/>
      <c r="J111" s="1693"/>
      <c r="K111" s="1693"/>
      <c r="L111" s="1693"/>
      <c r="M111" s="1693"/>
      <c r="N111" s="1693"/>
    </row>
    <row r="112" spans="3:14" ht="20.100000000000001" customHeight="1" thickBot="1" x14ac:dyDescent="0.25">
      <c r="C112" s="1719" t="s">
        <v>16</v>
      </c>
      <c r="D112" s="1974"/>
      <c r="E112" s="1975">
        <f t="shared" si="3"/>
        <v>2.857142857142847E-2</v>
      </c>
      <c r="F112" s="1975">
        <f t="shared" si="3"/>
        <v>2.7777777777777679E-2</v>
      </c>
      <c r="G112" s="1975">
        <f t="shared" si="3"/>
        <v>2.7027027027026973E-2</v>
      </c>
      <c r="H112" s="1692"/>
    </row>
    <row r="113" spans="3:8" ht="20.100000000000001" customHeight="1" thickBot="1" x14ac:dyDescent="0.25">
      <c r="C113" s="1719" t="s">
        <v>17</v>
      </c>
      <c r="D113" s="1974"/>
      <c r="E113" s="1975">
        <f t="shared" si="3"/>
        <v>2.8571428571428692E-2</v>
      </c>
      <c r="F113" s="1975">
        <f t="shared" si="3"/>
        <v>2.7777777777777679E-2</v>
      </c>
      <c r="G113" s="1975">
        <f t="shared" si="3"/>
        <v>2.7027027027027195E-2</v>
      </c>
      <c r="H113" s="1692"/>
    </row>
    <row r="114" spans="3:8" ht="40.5" customHeight="1" thickBot="1" x14ac:dyDescent="0.25">
      <c r="C114" s="1743" t="s">
        <v>1183</v>
      </c>
      <c r="D114" s="1764"/>
      <c r="E114" s="1764"/>
      <c r="F114" s="1764"/>
      <c r="G114" s="1765"/>
      <c r="H114" s="1694"/>
    </row>
    <row r="115" spans="3:8" ht="20.100000000000001" customHeight="1" x14ac:dyDescent="0.2">
      <c r="C115" s="1746"/>
      <c r="D115" s="1728">
        <v>2018</v>
      </c>
      <c r="E115" s="1728">
        <v>2019</v>
      </c>
      <c r="F115" s="1728">
        <v>2020</v>
      </c>
      <c r="G115" s="1728">
        <v>2021</v>
      </c>
      <c r="H115" s="826"/>
    </row>
    <row r="116" spans="3:8" ht="20.100000000000001" customHeight="1" thickBot="1" x14ac:dyDescent="0.25">
      <c r="C116" s="1747"/>
      <c r="D116" s="1748" t="s">
        <v>6</v>
      </c>
      <c r="E116" s="1748" t="s">
        <v>7</v>
      </c>
      <c r="F116" s="1748" t="s">
        <v>7</v>
      </c>
      <c r="G116" s="1748" t="s">
        <v>7</v>
      </c>
      <c r="H116" s="826"/>
    </row>
    <row r="117" spans="3:8" ht="20.100000000000001" customHeight="1" thickBot="1" x14ac:dyDescent="0.25">
      <c r="C117" s="1749" t="s">
        <v>0</v>
      </c>
      <c r="D117" s="1766">
        <v>0</v>
      </c>
      <c r="E117" s="1766"/>
      <c r="F117" s="1766"/>
      <c r="G117" s="1766"/>
      <c r="H117" s="1700"/>
    </row>
    <row r="118" spans="3:8" ht="34.5" customHeight="1" thickBot="1" x14ac:dyDescent="0.25">
      <c r="C118" s="1749" t="s">
        <v>49</v>
      </c>
      <c r="D118" s="1766">
        <v>0</v>
      </c>
      <c r="E118" s="1766"/>
      <c r="F118" s="1766"/>
      <c r="G118" s="1766"/>
      <c r="H118" s="1700"/>
    </row>
    <row r="119" spans="3:8" ht="20.100000000000001" customHeight="1" thickBot="1" x14ac:dyDescent="0.25">
      <c r="C119" s="1749" t="s">
        <v>1</v>
      </c>
      <c r="D119" s="1767">
        <v>0</v>
      </c>
      <c r="E119" s="1766"/>
      <c r="F119" s="1766"/>
      <c r="G119" s="1766"/>
      <c r="H119" s="1700"/>
    </row>
    <row r="120" spans="3:8" ht="20.100000000000001" customHeight="1" thickBot="1" x14ac:dyDescent="0.25">
      <c r="C120" s="1749" t="s">
        <v>2</v>
      </c>
      <c r="D120" s="1767">
        <v>0</v>
      </c>
      <c r="E120" s="1766"/>
      <c r="F120" s="1766"/>
      <c r="G120" s="1766"/>
      <c r="H120" s="1700"/>
    </row>
    <row r="121" spans="3:8" ht="20.100000000000001" customHeight="1" thickBot="1" x14ac:dyDescent="0.25">
      <c r="C121" s="1749" t="s">
        <v>28</v>
      </c>
      <c r="D121" s="1767">
        <v>0</v>
      </c>
      <c r="E121" s="1766"/>
      <c r="F121" s="1766"/>
      <c r="G121" s="1766"/>
      <c r="H121" s="1700"/>
    </row>
    <row r="122" spans="3:8" ht="20.100000000000001" customHeight="1" thickBot="1" x14ac:dyDescent="0.25">
      <c r="C122" s="1749" t="s">
        <v>30</v>
      </c>
      <c r="D122" s="1767">
        <v>0</v>
      </c>
      <c r="E122" s="1766"/>
      <c r="F122" s="1766"/>
      <c r="G122" s="1766"/>
      <c r="H122" s="1700"/>
    </row>
    <row r="123" spans="3:8" ht="20.100000000000001" customHeight="1" thickBot="1" x14ac:dyDescent="0.25">
      <c r="C123" s="1749" t="s">
        <v>3</v>
      </c>
      <c r="D123" s="1767">
        <f>D109</f>
        <v>70000</v>
      </c>
      <c r="E123" s="1767">
        <f>E109</f>
        <v>72000</v>
      </c>
      <c r="F123" s="1767">
        <f>F109</f>
        <v>74000</v>
      </c>
      <c r="G123" s="1767">
        <f>G109</f>
        <v>76000</v>
      </c>
      <c r="H123" s="1701"/>
    </row>
    <row r="124" spans="3:8" ht="20.100000000000001" customHeight="1" thickBot="1" x14ac:dyDescent="0.25">
      <c r="C124" s="1751" t="s">
        <v>641</v>
      </c>
      <c r="D124" s="1767">
        <f>SUM(D117:D123)</f>
        <v>70000</v>
      </c>
      <c r="E124" s="1767">
        <f>SUM(E117:E123)</f>
        <v>72000</v>
      </c>
      <c r="F124" s="1767">
        <f>SUM(F117:F123)</f>
        <v>74000</v>
      </c>
      <c r="G124" s="1767">
        <f>SUM(G117:G123)</f>
        <v>76000</v>
      </c>
      <c r="H124" s="1701"/>
    </row>
    <row r="125" spans="3:8" ht="20.100000000000001" customHeight="1" thickBot="1" x14ac:dyDescent="0.25">
      <c r="C125" s="1752" t="s">
        <v>70</v>
      </c>
      <c r="D125" s="1753">
        <f>D124-D109</f>
        <v>0</v>
      </c>
      <c r="E125" s="1753">
        <f>E124-E109</f>
        <v>0</v>
      </c>
      <c r="F125" s="1753">
        <f>F124-F109</f>
        <v>0</v>
      </c>
      <c r="G125" s="1753">
        <f>G124-G109</f>
        <v>0</v>
      </c>
      <c r="H125" s="1697"/>
    </row>
    <row r="126" spans="3:8" ht="20.100000000000001" customHeight="1" thickBot="1" x14ac:dyDescent="0.25">
      <c r="C126" s="1727" t="s">
        <v>753</v>
      </c>
      <c r="D126" s="2602" t="s">
        <v>752</v>
      </c>
      <c r="E126" s="2603"/>
      <c r="F126" s="2603"/>
      <c r="G126" s="2604"/>
      <c r="H126" s="857"/>
    </row>
    <row r="127" spans="3:8" ht="51" customHeight="1" thickBot="1" x14ac:dyDescent="0.25">
      <c r="C127" s="1719" t="s">
        <v>10</v>
      </c>
      <c r="D127" s="2602" t="s">
        <v>751</v>
      </c>
      <c r="E127" s="2603"/>
      <c r="F127" s="2603"/>
      <c r="G127" s="2604"/>
      <c r="H127" s="857"/>
    </row>
    <row r="128" spans="3:8" ht="20.100000000000001" customHeight="1" thickBot="1" x14ac:dyDescent="0.25">
      <c r="C128" s="1719" t="s">
        <v>13</v>
      </c>
      <c r="D128" s="2593" t="s">
        <v>750</v>
      </c>
      <c r="E128" s="2594"/>
      <c r="F128" s="2594"/>
      <c r="G128" s="2595"/>
      <c r="H128" s="847"/>
    </row>
    <row r="129" spans="3:14" ht="20.100000000000001" customHeight="1" x14ac:dyDescent="0.2">
      <c r="C129" s="2591"/>
      <c r="D129" s="1728">
        <v>2018</v>
      </c>
      <c r="E129" s="1728">
        <v>2019</v>
      </c>
      <c r="F129" s="1728">
        <v>2020</v>
      </c>
      <c r="G129" s="1728">
        <v>2021</v>
      </c>
      <c r="H129" s="826"/>
    </row>
    <row r="130" spans="3:14" ht="20.100000000000001" customHeight="1" thickBot="1" x14ac:dyDescent="0.25">
      <c r="C130" s="2592"/>
      <c r="D130" s="1748" t="s">
        <v>6</v>
      </c>
      <c r="E130" s="1748" t="s">
        <v>7</v>
      </c>
      <c r="F130" s="1748" t="s">
        <v>7</v>
      </c>
      <c r="G130" s="1748" t="s">
        <v>7</v>
      </c>
      <c r="H130" s="826"/>
    </row>
    <row r="131" spans="3:14" ht="20.100000000000001" customHeight="1" thickBot="1" x14ac:dyDescent="0.25">
      <c r="C131" s="1719" t="s">
        <v>9</v>
      </c>
      <c r="D131" s="1971">
        <v>3000</v>
      </c>
      <c r="E131" s="1971">
        <v>3000</v>
      </c>
      <c r="F131" s="1971">
        <v>3000</v>
      </c>
      <c r="G131" s="1971">
        <v>3000</v>
      </c>
      <c r="H131" s="1698"/>
    </row>
    <row r="132" spans="3:14" ht="20.100000000000001" customHeight="1" thickBot="1" x14ac:dyDescent="0.25">
      <c r="C132" s="1719" t="s">
        <v>14</v>
      </c>
      <c r="D132" s="1971">
        <v>30000</v>
      </c>
      <c r="E132" s="1971">
        <f>E131*E133</f>
        <v>33000</v>
      </c>
      <c r="F132" s="1971">
        <f>F131*F133</f>
        <v>36000</v>
      </c>
      <c r="G132" s="1971">
        <f>G131*G133</f>
        <v>39000</v>
      </c>
      <c r="H132" s="1698"/>
    </row>
    <row r="133" spans="3:14" ht="20.100000000000001" customHeight="1" thickBot="1" x14ac:dyDescent="0.25">
      <c r="C133" s="1719" t="s">
        <v>23</v>
      </c>
      <c r="D133" s="1973">
        <v>10</v>
      </c>
      <c r="E133" s="1973">
        <v>11</v>
      </c>
      <c r="F133" s="1973">
        <v>12</v>
      </c>
      <c r="G133" s="1973">
        <v>13</v>
      </c>
      <c r="H133" s="1699"/>
    </row>
    <row r="134" spans="3:14" ht="20.100000000000001" customHeight="1" thickBot="1" x14ac:dyDescent="0.25">
      <c r="C134" s="1719" t="s">
        <v>15</v>
      </c>
      <c r="D134" s="1974"/>
      <c r="E134" s="1975">
        <f t="shared" ref="E134:G136" si="4">E131/D131-1</f>
        <v>0</v>
      </c>
      <c r="F134" s="1975">
        <f t="shared" si="4"/>
        <v>0</v>
      </c>
      <c r="G134" s="1975">
        <f t="shared" si="4"/>
        <v>0</v>
      </c>
      <c r="H134" s="1692"/>
      <c r="J134" s="1693"/>
      <c r="K134" s="1693"/>
      <c r="L134" s="1693"/>
      <c r="M134" s="1693"/>
      <c r="N134" s="1693"/>
    </row>
    <row r="135" spans="3:14" ht="20.100000000000001" customHeight="1" thickBot="1" x14ac:dyDescent="0.25">
      <c r="C135" s="1719" t="s">
        <v>16</v>
      </c>
      <c r="D135" s="1974"/>
      <c r="E135" s="1975">
        <f t="shared" si="4"/>
        <v>0.10000000000000009</v>
      </c>
      <c r="F135" s="1975">
        <f t="shared" si="4"/>
        <v>9.0909090909090828E-2</v>
      </c>
      <c r="G135" s="1975">
        <f t="shared" si="4"/>
        <v>8.3333333333333259E-2</v>
      </c>
      <c r="H135" s="1692"/>
    </row>
    <row r="136" spans="3:14" ht="20.100000000000001" customHeight="1" thickBot="1" x14ac:dyDescent="0.25">
      <c r="C136" s="1719" t="s">
        <v>17</v>
      </c>
      <c r="D136" s="1974"/>
      <c r="E136" s="1975">
        <f t="shared" si="4"/>
        <v>0.10000000000000009</v>
      </c>
      <c r="F136" s="1975">
        <f t="shared" si="4"/>
        <v>9.0909090909090828E-2</v>
      </c>
      <c r="G136" s="1975">
        <f t="shared" si="4"/>
        <v>8.3333333333333259E-2</v>
      </c>
      <c r="H136" s="1692"/>
    </row>
    <row r="137" spans="3:14" ht="32.25" customHeight="1" thickBot="1" x14ac:dyDescent="0.25">
      <c r="C137" s="1743" t="s">
        <v>1184</v>
      </c>
      <c r="D137" s="1764"/>
      <c r="E137" s="1764"/>
      <c r="F137" s="1764"/>
      <c r="G137" s="1765"/>
      <c r="H137" s="1694"/>
    </row>
    <row r="138" spans="3:14" ht="20.100000000000001" customHeight="1" x14ac:dyDescent="0.2">
      <c r="C138" s="1746"/>
      <c r="D138" s="1728">
        <v>2018</v>
      </c>
      <c r="E138" s="1728">
        <v>2019</v>
      </c>
      <c r="F138" s="1728">
        <v>2020</v>
      </c>
      <c r="G138" s="1728">
        <v>2021</v>
      </c>
      <c r="H138" s="826"/>
    </row>
    <row r="139" spans="3:14" ht="20.100000000000001" customHeight="1" thickBot="1" x14ac:dyDescent="0.25">
      <c r="C139" s="1747"/>
      <c r="D139" s="1748" t="s">
        <v>6</v>
      </c>
      <c r="E139" s="1748" t="s">
        <v>7</v>
      </c>
      <c r="F139" s="1748" t="s">
        <v>7</v>
      </c>
      <c r="G139" s="1748" t="s">
        <v>7</v>
      </c>
      <c r="H139" s="826"/>
    </row>
    <row r="140" spans="3:14" ht="20.100000000000001" customHeight="1" thickBot="1" x14ac:dyDescent="0.25">
      <c r="C140" s="1749" t="s">
        <v>0</v>
      </c>
      <c r="D140" s="1766">
        <v>0</v>
      </c>
      <c r="E140" s="1766"/>
      <c r="F140" s="1766"/>
      <c r="G140" s="1766"/>
      <c r="H140" s="1700"/>
    </row>
    <row r="141" spans="3:14" ht="20.100000000000001" customHeight="1" thickBot="1" x14ac:dyDescent="0.25">
      <c r="C141" s="1749" t="s">
        <v>49</v>
      </c>
      <c r="D141" s="1766">
        <v>0</v>
      </c>
      <c r="E141" s="1766"/>
      <c r="F141" s="1766"/>
      <c r="G141" s="1766"/>
      <c r="H141" s="1700"/>
    </row>
    <row r="142" spans="3:14" ht="20.100000000000001" customHeight="1" thickBot="1" x14ac:dyDescent="0.25">
      <c r="C142" s="1749" t="s">
        <v>1</v>
      </c>
      <c r="D142" s="1767">
        <f>D132</f>
        <v>30000</v>
      </c>
      <c r="E142" s="1767">
        <f>E132</f>
        <v>33000</v>
      </c>
      <c r="F142" s="1767">
        <f>F132</f>
        <v>36000</v>
      </c>
      <c r="G142" s="1767">
        <f>G132</f>
        <v>39000</v>
      </c>
      <c r="H142" s="1701"/>
    </row>
    <row r="143" spans="3:14" ht="20.100000000000001" customHeight="1" thickBot="1" x14ac:dyDescent="0.25">
      <c r="C143" s="1749" t="s">
        <v>2</v>
      </c>
      <c r="D143" s="1767">
        <v>0</v>
      </c>
      <c r="E143" s="1766"/>
      <c r="F143" s="1766"/>
      <c r="G143" s="1766"/>
      <c r="H143" s="1700"/>
    </row>
    <row r="144" spans="3:14" ht="20.100000000000001" customHeight="1" thickBot="1" x14ac:dyDescent="0.25">
      <c r="C144" s="1749" t="s">
        <v>28</v>
      </c>
      <c r="D144" s="1767">
        <v>0</v>
      </c>
      <c r="E144" s="1766"/>
      <c r="F144" s="1766"/>
      <c r="G144" s="1766"/>
      <c r="H144" s="1700"/>
    </row>
    <row r="145" spans="3:13" ht="20.100000000000001" customHeight="1" thickBot="1" x14ac:dyDescent="0.25">
      <c r="C145" s="1749" t="s">
        <v>30</v>
      </c>
      <c r="D145" s="1767">
        <v>0</v>
      </c>
      <c r="E145" s="1766"/>
      <c r="F145" s="1766"/>
      <c r="G145" s="1766"/>
      <c r="H145" s="1700"/>
    </row>
    <row r="146" spans="3:13" ht="20.100000000000001" customHeight="1" thickBot="1" x14ac:dyDescent="0.25">
      <c r="C146" s="1749" t="s">
        <v>3</v>
      </c>
      <c r="D146" s="1767"/>
      <c r="E146" s="1767"/>
      <c r="F146" s="1767"/>
      <c r="G146" s="1767"/>
      <c r="H146" s="1701"/>
    </row>
    <row r="147" spans="3:13" ht="20.100000000000001" customHeight="1" thickBot="1" x14ac:dyDescent="0.25">
      <c r="C147" s="1751" t="s">
        <v>748</v>
      </c>
      <c r="D147" s="1767">
        <f>SUM(D140:D146)</f>
        <v>30000</v>
      </c>
      <c r="E147" s="1767">
        <f>SUM(E140:E146)</f>
        <v>33000</v>
      </c>
      <c r="F147" s="1767">
        <f>SUM(F140:F146)</f>
        <v>36000</v>
      </c>
      <c r="G147" s="1767">
        <f>SUM(G140:G146)</f>
        <v>39000</v>
      </c>
      <c r="H147" s="1701"/>
    </row>
    <row r="148" spans="3:13" ht="20.100000000000001" customHeight="1" thickBot="1" x14ac:dyDescent="0.25">
      <c r="C148" s="1752" t="s">
        <v>70</v>
      </c>
      <c r="D148" s="1753">
        <f>D132-D147</f>
        <v>0</v>
      </c>
      <c r="E148" s="1753">
        <f>E132-E147</f>
        <v>0</v>
      </c>
      <c r="F148" s="1753">
        <f>F132-F147</f>
        <v>0</v>
      </c>
      <c r="G148" s="1753">
        <f>G132-G147</f>
        <v>0</v>
      </c>
      <c r="H148" s="1697"/>
    </row>
    <row r="149" spans="3:13" ht="84.75" customHeight="1" thickBot="1" x14ac:dyDescent="0.25">
      <c r="C149" s="1723" t="s">
        <v>497</v>
      </c>
      <c r="D149" s="2619" t="s">
        <v>747</v>
      </c>
      <c r="E149" s="2620"/>
      <c r="F149" s="2620"/>
      <c r="G149" s="2621"/>
      <c r="H149" s="857"/>
    </row>
    <row r="150" spans="3:13" ht="20.100000000000001" customHeight="1" thickBot="1" x14ac:dyDescent="0.25">
      <c r="C150" s="2602" t="s">
        <v>506</v>
      </c>
      <c r="D150" s="2603"/>
      <c r="E150" s="2603"/>
      <c r="F150" s="2603"/>
      <c r="G150" s="2604"/>
      <c r="H150" s="857"/>
      <c r="K150" s="1686"/>
      <c r="M150" s="1686"/>
    </row>
    <row r="151" spans="3:13" ht="20.100000000000001" customHeight="1" x14ac:dyDescent="0.2">
      <c r="C151" s="1724"/>
      <c r="D151" s="1724">
        <v>2018</v>
      </c>
      <c r="E151" s="1724">
        <v>2019</v>
      </c>
      <c r="F151" s="1724">
        <v>2020</v>
      </c>
      <c r="G151" s="1724">
        <v>2021</v>
      </c>
      <c r="H151" s="857"/>
      <c r="K151" s="1686"/>
      <c r="M151" s="1686"/>
    </row>
    <row r="152" spans="3:13" ht="20.100000000000001" customHeight="1" thickBot="1" x14ac:dyDescent="0.25">
      <c r="C152" s="1717" t="s">
        <v>746</v>
      </c>
      <c r="D152" s="1770">
        <v>2000</v>
      </c>
      <c r="E152" s="1770">
        <v>2000</v>
      </c>
      <c r="F152" s="1770">
        <v>2000</v>
      </c>
      <c r="G152" s="1770">
        <v>2000</v>
      </c>
      <c r="H152" s="1704"/>
    </row>
    <row r="153" spans="3:13" ht="20.100000000000001" customHeight="1" thickBot="1" x14ac:dyDescent="0.25">
      <c r="C153" s="1719" t="s">
        <v>745</v>
      </c>
      <c r="D153" s="1770">
        <v>1000</v>
      </c>
      <c r="E153" s="1770">
        <v>1000</v>
      </c>
      <c r="F153" s="1770">
        <v>1000</v>
      </c>
      <c r="G153" s="1770">
        <v>1000</v>
      </c>
      <c r="H153" s="1704"/>
    </row>
    <row r="154" spans="3:13" ht="20.100000000000001" customHeight="1" thickBot="1" x14ac:dyDescent="0.25">
      <c r="C154" s="1719" t="s">
        <v>744</v>
      </c>
      <c r="D154" s="1770">
        <v>200</v>
      </c>
      <c r="E154" s="1770">
        <v>200</v>
      </c>
      <c r="F154" s="1770">
        <v>200</v>
      </c>
      <c r="G154" s="1770">
        <v>200</v>
      </c>
      <c r="H154" s="1704"/>
    </row>
    <row r="155" spans="3:13" ht="20.100000000000001" customHeight="1" thickBot="1" x14ac:dyDescent="0.25">
      <c r="C155" s="1719" t="s">
        <v>743</v>
      </c>
      <c r="D155" s="1770">
        <v>40000</v>
      </c>
      <c r="E155" s="1770">
        <v>39000</v>
      </c>
      <c r="F155" s="1770">
        <v>38500</v>
      </c>
      <c r="G155" s="1770">
        <v>38000</v>
      </c>
      <c r="H155" s="1704"/>
    </row>
    <row r="156" spans="3:13" ht="20.100000000000001" customHeight="1" thickBot="1" x14ac:dyDescent="0.25">
      <c r="C156" s="2596" t="s">
        <v>536</v>
      </c>
      <c r="D156" s="2597"/>
      <c r="E156" s="2597"/>
      <c r="F156" s="2597"/>
      <c r="G156" s="2598"/>
      <c r="H156" s="928"/>
    </row>
    <row r="157" spans="3:13" ht="20.100000000000001" customHeight="1" thickBot="1" x14ac:dyDescent="0.25">
      <c r="C157" s="2596" t="s">
        <v>121</v>
      </c>
      <c r="D157" s="2597"/>
      <c r="E157" s="2597"/>
      <c r="F157" s="2597"/>
      <c r="G157" s="2598"/>
      <c r="H157" s="928"/>
    </row>
    <row r="158" spans="3:13" ht="50.25" customHeight="1" thickBot="1" x14ac:dyDescent="0.25">
      <c r="C158" s="1727" t="s">
        <v>659</v>
      </c>
      <c r="D158" s="2608" t="s">
        <v>742</v>
      </c>
      <c r="E158" s="2609"/>
      <c r="F158" s="2609"/>
      <c r="G158" s="2610"/>
      <c r="H158" s="1705"/>
    </row>
    <row r="159" spans="3:13" ht="42.75" customHeight="1" thickBot="1" x14ac:dyDescent="0.25">
      <c r="C159" s="1719" t="s">
        <v>10</v>
      </c>
      <c r="D159" s="2608" t="s">
        <v>741</v>
      </c>
      <c r="E159" s="2609"/>
      <c r="F159" s="2609"/>
      <c r="G159" s="2610"/>
      <c r="H159" s="1705"/>
    </row>
    <row r="160" spans="3:13" ht="20.100000000000001" customHeight="1" thickBot="1" x14ac:dyDescent="0.25">
      <c r="C160" s="1719" t="s">
        <v>13</v>
      </c>
      <c r="D160" s="2593" t="s">
        <v>740</v>
      </c>
      <c r="E160" s="2594"/>
      <c r="F160" s="2594"/>
      <c r="G160" s="2595"/>
      <c r="H160" s="847"/>
    </row>
    <row r="161" spans="3:14" ht="20.100000000000001" customHeight="1" x14ac:dyDescent="0.2">
      <c r="C161" s="2591"/>
      <c r="D161" s="1728">
        <v>2018</v>
      </c>
      <c r="E161" s="1728">
        <v>2019</v>
      </c>
      <c r="F161" s="1728">
        <v>2020</v>
      </c>
      <c r="G161" s="1728">
        <v>2021</v>
      </c>
      <c r="H161" s="826"/>
    </row>
    <row r="162" spans="3:14" ht="20.100000000000001" customHeight="1" thickBot="1" x14ac:dyDescent="0.25">
      <c r="C162" s="2592"/>
      <c r="D162" s="1748" t="s">
        <v>6</v>
      </c>
      <c r="E162" s="1748" t="s">
        <v>7</v>
      </c>
      <c r="F162" s="1748" t="s">
        <v>7</v>
      </c>
      <c r="G162" s="1748" t="s">
        <v>7</v>
      </c>
      <c r="H162" s="826"/>
    </row>
    <row r="163" spans="3:14" ht="20.100000000000001" customHeight="1" thickBot="1" x14ac:dyDescent="0.25">
      <c r="C163" s="1719" t="s">
        <v>9</v>
      </c>
      <c r="D163" s="1971">
        <v>40000</v>
      </c>
      <c r="E163" s="1971">
        <v>39000</v>
      </c>
      <c r="F163" s="1971">
        <v>38500</v>
      </c>
      <c r="G163" s="1971">
        <v>38000</v>
      </c>
      <c r="H163" s="1698"/>
    </row>
    <row r="164" spans="3:14" ht="20.100000000000001" customHeight="1" thickBot="1" x14ac:dyDescent="0.25">
      <c r="C164" s="1719" t="s">
        <v>14</v>
      </c>
      <c r="D164" s="1973">
        <v>97228</v>
      </c>
      <c r="E164" s="1973">
        <v>99100</v>
      </c>
      <c r="F164" s="1973">
        <v>102400</v>
      </c>
      <c r="G164" s="1973">
        <v>104200</v>
      </c>
      <c r="H164" s="1699"/>
    </row>
    <row r="165" spans="3:14" ht="20.100000000000001" customHeight="1" thickBot="1" x14ac:dyDescent="0.25">
      <c r="C165" s="1719" t="s">
        <v>23</v>
      </c>
      <c r="D165" s="1973">
        <f>D164/D163</f>
        <v>2.4306999999999999</v>
      </c>
      <c r="E165" s="1973">
        <f>E164/E163</f>
        <v>2.5410256410256409</v>
      </c>
      <c r="F165" s="1973">
        <f>F164/F163</f>
        <v>2.6597402597402597</v>
      </c>
      <c r="G165" s="1973">
        <f>G164/G163</f>
        <v>2.7421052631578946</v>
      </c>
      <c r="H165" s="1699"/>
    </row>
    <row r="166" spans="3:14" ht="20.100000000000001" customHeight="1" thickBot="1" x14ac:dyDescent="0.25">
      <c r="C166" s="1719" t="s">
        <v>15</v>
      </c>
      <c r="D166" s="1975"/>
      <c r="E166" s="1975">
        <f t="shared" ref="E166:G168" si="5">E163/D163-1</f>
        <v>-2.5000000000000022E-2</v>
      </c>
      <c r="F166" s="1975">
        <f t="shared" si="5"/>
        <v>-1.2820512820512775E-2</v>
      </c>
      <c r="G166" s="1975">
        <f t="shared" si="5"/>
        <v>-1.2987012987012991E-2</v>
      </c>
      <c r="H166" s="1692"/>
      <c r="J166" s="1693"/>
      <c r="K166" s="1693"/>
      <c r="L166" s="1693"/>
      <c r="M166" s="1693"/>
      <c r="N166" s="1693"/>
    </row>
    <row r="167" spans="3:14" ht="20.100000000000001" customHeight="1" thickBot="1" x14ac:dyDescent="0.25">
      <c r="C167" s="1719" t="s">
        <v>16</v>
      </c>
      <c r="D167" s="1975"/>
      <c r="E167" s="1975">
        <f t="shared" si="5"/>
        <v>1.9253712922203459E-2</v>
      </c>
      <c r="F167" s="1975">
        <f t="shared" si="5"/>
        <v>3.3299697275479323E-2</v>
      </c>
      <c r="G167" s="1975">
        <f t="shared" si="5"/>
        <v>1.7578125E-2</v>
      </c>
      <c r="H167" s="1692"/>
    </row>
    <row r="168" spans="3:14" ht="20.100000000000001" customHeight="1" thickBot="1" x14ac:dyDescent="0.25">
      <c r="C168" s="1719" t="s">
        <v>17</v>
      </c>
      <c r="D168" s="1975"/>
      <c r="E168" s="1975">
        <f t="shared" si="5"/>
        <v>4.5388423509952203E-2</v>
      </c>
      <c r="F168" s="1975">
        <f t="shared" si="5"/>
        <v>4.6719173863472685E-2</v>
      </c>
      <c r="G168" s="1975">
        <f t="shared" si="5"/>
        <v>3.0967310855263053E-2</v>
      </c>
      <c r="H168" s="1692"/>
    </row>
    <row r="169" spans="3:14" ht="20.100000000000001" customHeight="1" thickBot="1" x14ac:dyDescent="0.25">
      <c r="C169" s="2605" t="s">
        <v>1177</v>
      </c>
      <c r="D169" s="2606"/>
      <c r="E169" s="2606"/>
      <c r="F169" s="2606"/>
      <c r="G169" s="2607"/>
      <c r="H169" s="826"/>
    </row>
    <row r="170" spans="3:14" ht="20.100000000000001" customHeight="1" x14ac:dyDescent="0.2">
      <c r="C170" s="2591"/>
      <c r="D170" s="1728">
        <v>2018</v>
      </c>
      <c r="E170" s="1728">
        <v>2019</v>
      </c>
      <c r="F170" s="1728">
        <v>2020</v>
      </c>
      <c r="G170" s="1728">
        <v>2021</v>
      </c>
      <c r="H170" s="826"/>
    </row>
    <row r="171" spans="3:14" ht="20.100000000000001" customHeight="1" thickBot="1" x14ac:dyDescent="0.25">
      <c r="C171" s="2592"/>
      <c r="D171" s="1748" t="s">
        <v>6</v>
      </c>
      <c r="E171" s="1748" t="s">
        <v>7</v>
      </c>
      <c r="F171" s="1748" t="s">
        <v>7</v>
      </c>
      <c r="G171" s="1748" t="s">
        <v>7</v>
      </c>
      <c r="H171" s="826"/>
    </row>
    <row r="172" spans="3:14" ht="20.100000000000001" customHeight="1" thickBot="1" x14ac:dyDescent="0.25">
      <c r="C172" s="1749" t="s">
        <v>0</v>
      </c>
      <c r="D172" s="1767">
        <v>36000</v>
      </c>
      <c r="E172" s="1767">
        <v>36000</v>
      </c>
      <c r="F172" s="1767">
        <v>36000</v>
      </c>
      <c r="G172" s="1767">
        <v>36000</v>
      </c>
      <c r="H172" s="1701"/>
    </row>
    <row r="173" spans="3:14" ht="28.5" customHeight="1" thickBot="1" x14ac:dyDescent="0.25">
      <c r="C173" s="1749" t="s">
        <v>49</v>
      </c>
      <c r="D173" s="1767">
        <f>D172*0.173</f>
        <v>6227.9999999999991</v>
      </c>
      <c r="E173" s="1767">
        <f>E172*0.173</f>
        <v>6227.9999999999991</v>
      </c>
      <c r="F173" s="1767">
        <f>F172*0.173</f>
        <v>6227.9999999999991</v>
      </c>
      <c r="G173" s="1767">
        <f>G172*0.173</f>
        <v>6227.9999999999991</v>
      </c>
      <c r="H173" s="1701"/>
    </row>
    <row r="174" spans="3:14" ht="20.100000000000001" customHeight="1" thickBot="1" x14ac:dyDescent="0.25">
      <c r="C174" s="1749" t="s">
        <v>1</v>
      </c>
      <c r="D174" s="1767">
        <v>55000</v>
      </c>
      <c r="E174" s="1767">
        <v>56872</v>
      </c>
      <c r="F174" s="1767">
        <v>60172</v>
      </c>
      <c r="G174" s="1767">
        <v>61972</v>
      </c>
      <c r="H174" s="1701"/>
    </row>
    <row r="175" spans="3:14" ht="20.100000000000001" customHeight="1" thickBot="1" x14ac:dyDescent="0.25">
      <c r="C175" s="1749" t="s">
        <v>2</v>
      </c>
      <c r="D175" s="1767">
        <v>0</v>
      </c>
      <c r="E175" s="1766"/>
      <c r="F175" s="1766"/>
      <c r="G175" s="1766"/>
      <c r="H175" s="1700"/>
    </row>
    <row r="176" spans="3:14" ht="20.100000000000001" customHeight="1" thickBot="1" x14ac:dyDescent="0.25">
      <c r="C176" s="1749" t="s">
        <v>28</v>
      </c>
      <c r="D176" s="1767">
        <v>0</v>
      </c>
      <c r="E176" s="1766"/>
      <c r="F176" s="1766"/>
      <c r="G176" s="1766"/>
      <c r="H176" s="1700"/>
    </row>
    <row r="177" spans="3:13" ht="20.100000000000001" customHeight="1" thickBot="1" x14ac:dyDescent="0.25">
      <c r="C177" s="1749" t="s">
        <v>30</v>
      </c>
      <c r="D177" s="1767">
        <v>0</v>
      </c>
      <c r="E177" s="1766"/>
      <c r="F177" s="1766"/>
      <c r="G177" s="1766"/>
      <c r="H177" s="1700"/>
    </row>
    <row r="178" spans="3:13" ht="28.5" customHeight="1" thickBot="1" x14ac:dyDescent="0.25">
      <c r="C178" s="1749" t="s">
        <v>3</v>
      </c>
      <c r="D178" s="1767"/>
      <c r="E178" s="1767"/>
      <c r="F178" s="1767"/>
      <c r="G178" s="1767"/>
      <c r="H178" s="1701"/>
    </row>
    <row r="179" spans="3:13" ht="20.100000000000001" customHeight="1" thickBot="1" x14ac:dyDescent="0.25">
      <c r="C179" s="1751" t="s">
        <v>68</v>
      </c>
      <c r="D179" s="1767">
        <f>D178+D177+D176+D175+D174+D173+D172</f>
        <v>97228</v>
      </c>
      <c r="E179" s="1767">
        <f>E178+E177+E176+E175+E174+E173+E172</f>
        <v>99100</v>
      </c>
      <c r="F179" s="1767">
        <f>F178+F177+F176+F175+F174+F173+F172</f>
        <v>102400</v>
      </c>
      <c r="G179" s="1767">
        <f>G178+G177+G176+G175+G174+G173+G172</f>
        <v>104200</v>
      </c>
      <c r="H179" s="1701"/>
    </row>
    <row r="180" spans="3:13" ht="20.100000000000001" customHeight="1" thickBot="1" x14ac:dyDescent="0.25">
      <c r="C180" s="1752" t="s">
        <v>70</v>
      </c>
      <c r="D180" s="1753">
        <f>D179-D164</f>
        <v>0</v>
      </c>
      <c r="E180" s="1753">
        <f>E179-E164</f>
        <v>0</v>
      </c>
      <c r="F180" s="1753">
        <f>F179-F164</f>
        <v>0</v>
      </c>
      <c r="G180" s="1753">
        <f>G179-G164</f>
        <v>0</v>
      </c>
      <c r="H180" s="1697"/>
    </row>
    <row r="181" spans="3:13" ht="34.5" customHeight="1" thickBot="1" x14ac:dyDescent="0.25">
      <c r="C181" s="1723" t="s">
        <v>512</v>
      </c>
      <c r="D181" s="2619" t="s">
        <v>739</v>
      </c>
      <c r="E181" s="2620"/>
      <c r="F181" s="2620"/>
      <c r="G181" s="2621"/>
      <c r="H181" s="857"/>
    </row>
    <row r="182" spans="3:13" ht="20.100000000000001" customHeight="1" x14ac:dyDescent="0.2">
      <c r="C182" s="2622" t="s">
        <v>537</v>
      </c>
      <c r="D182" s="2623"/>
      <c r="E182" s="2623"/>
      <c r="F182" s="2623"/>
      <c r="G182" s="2624"/>
      <c r="H182" s="857"/>
      <c r="K182" s="1686"/>
      <c r="M182" s="1686"/>
    </row>
    <row r="183" spans="3:13" ht="20.100000000000001" customHeight="1" x14ac:dyDescent="0.2">
      <c r="C183" s="1724"/>
      <c r="D183" s="1771">
        <v>2018</v>
      </c>
      <c r="E183" s="1771">
        <v>2019</v>
      </c>
      <c r="F183" s="1771">
        <v>2020</v>
      </c>
      <c r="G183" s="1771">
        <v>2021</v>
      </c>
      <c r="H183" s="826"/>
      <c r="K183" s="1686"/>
      <c r="M183" s="1686"/>
    </row>
    <row r="184" spans="3:13" ht="20.100000000000001" customHeight="1" thickBot="1" x14ac:dyDescent="0.25">
      <c r="C184" s="1719" t="s">
        <v>738</v>
      </c>
      <c r="D184" s="1772">
        <f>54+D212</f>
        <v>228</v>
      </c>
      <c r="E184" s="1772">
        <f>54+E212</f>
        <v>282</v>
      </c>
      <c r="F184" s="1772">
        <f>54+F212</f>
        <v>282</v>
      </c>
      <c r="G184" s="1772">
        <f>54+G212</f>
        <v>229</v>
      </c>
      <c r="H184" s="880"/>
    </row>
    <row r="185" spans="3:13" ht="37.5" customHeight="1" thickBot="1" x14ac:dyDescent="0.25">
      <c r="C185" s="1719" t="s">
        <v>737</v>
      </c>
      <c r="D185" s="1770">
        <v>2983</v>
      </c>
      <c r="E185" s="1770">
        <v>3000</v>
      </c>
      <c r="F185" s="1770">
        <v>3050</v>
      </c>
      <c r="G185" s="1770">
        <v>3100</v>
      </c>
      <c r="H185" s="1704"/>
    </row>
    <row r="186" spans="3:13" ht="20.100000000000001" customHeight="1" thickBot="1" x14ac:dyDescent="0.25">
      <c r="C186" s="1719" t="s">
        <v>736</v>
      </c>
      <c r="D186" s="1725">
        <f>D184/D185</f>
        <v>7.6433121019108277E-2</v>
      </c>
      <c r="E186" s="1725">
        <f>E184/E185</f>
        <v>9.4E-2</v>
      </c>
      <c r="F186" s="1725">
        <f>F184/F185</f>
        <v>9.2459016393442617E-2</v>
      </c>
      <c r="G186" s="1725">
        <f>G184/G185</f>
        <v>7.3870967741935481E-2</v>
      </c>
      <c r="H186" s="1687"/>
    </row>
    <row r="187" spans="3:13" ht="20.100000000000001" customHeight="1" thickBot="1" x14ac:dyDescent="0.25">
      <c r="C187" s="2596" t="s">
        <v>535</v>
      </c>
      <c r="D187" s="2597"/>
      <c r="E187" s="2597"/>
      <c r="F187" s="2597"/>
      <c r="G187" s="2598"/>
      <c r="H187" s="928"/>
    </row>
    <row r="188" spans="3:13" ht="20.100000000000001" customHeight="1" thickBot="1" x14ac:dyDescent="0.25">
      <c r="C188" s="2596" t="s">
        <v>100</v>
      </c>
      <c r="D188" s="2597"/>
      <c r="E188" s="2597"/>
      <c r="F188" s="2597"/>
      <c r="G188" s="2598"/>
      <c r="H188" s="928"/>
    </row>
    <row r="189" spans="3:13" ht="20.100000000000001" customHeight="1" thickBot="1" x14ac:dyDescent="0.25">
      <c r="C189" s="1727" t="s">
        <v>648</v>
      </c>
      <c r="D189" s="2602" t="s">
        <v>735</v>
      </c>
      <c r="E189" s="2603"/>
      <c r="F189" s="2603"/>
      <c r="G189" s="2604"/>
      <c r="H189" s="857"/>
    </row>
    <row r="190" spans="3:13" ht="31.5" customHeight="1" thickBot="1" x14ac:dyDescent="0.25">
      <c r="C190" s="1719" t="s">
        <v>10</v>
      </c>
      <c r="D190" s="2602" t="s">
        <v>734</v>
      </c>
      <c r="E190" s="2603"/>
      <c r="F190" s="2603"/>
      <c r="G190" s="2604"/>
      <c r="H190" s="857"/>
      <c r="J190" s="1677" t="s">
        <v>732</v>
      </c>
    </row>
    <row r="191" spans="3:13" ht="20.100000000000001" customHeight="1" thickBot="1" x14ac:dyDescent="0.25">
      <c r="C191" s="1719" t="s">
        <v>13</v>
      </c>
      <c r="D191" s="2593" t="s">
        <v>733</v>
      </c>
      <c r="E191" s="2594"/>
      <c r="F191" s="2594"/>
      <c r="G191" s="2595"/>
      <c r="H191" s="847"/>
    </row>
    <row r="192" spans="3:13" ht="20.100000000000001" customHeight="1" x14ac:dyDescent="0.2">
      <c r="C192" s="2591"/>
      <c r="D192" s="1728">
        <v>2018</v>
      </c>
      <c r="E192" s="1728">
        <v>2019</v>
      </c>
      <c r="F192" s="1728">
        <v>2020</v>
      </c>
      <c r="G192" s="1728">
        <v>2021</v>
      </c>
      <c r="H192" s="826"/>
    </row>
    <row r="193" spans="3:14" ht="20.100000000000001" customHeight="1" thickBot="1" x14ac:dyDescent="0.25">
      <c r="C193" s="2592"/>
      <c r="D193" s="1748" t="s">
        <v>6</v>
      </c>
      <c r="E193" s="1748" t="s">
        <v>7</v>
      </c>
      <c r="F193" s="1748" t="s">
        <v>7</v>
      </c>
      <c r="G193" s="1748" t="s">
        <v>7</v>
      </c>
      <c r="H193" s="826"/>
    </row>
    <row r="194" spans="3:14" ht="20.100000000000001" customHeight="1" thickBot="1" x14ac:dyDescent="0.25">
      <c r="C194" s="1719" t="s">
        <v>9</v>
      </c>
      <c r="D194" s="1976">
        <v>54</v>
      </c>
      <c r="E194" s="1976">
        <v>70</v>
      </c>
      <c r="F194" s="1976">
        <v>70</v>
      </c>
      <c r="G194" s="1976">
        <v>70</v>
      </c>
      <c r="H194" s="1702"/>
    </row>
    <row r="195" spans="3:14" ht="20.100000000000001" customHeight="1" thickBot="1" x14ac:dyDescent="0.25">
      <c r="C195" s="1719" t="s">
        <v>14</v>
      </c>
      <c r="D195" s="1973">
        <v>245492</v>
      </c>
      <c r="E195" s="1973">
        <v>330000</v>
      </c>
      <c r="F195" s="1973">
        <v>330000</v>
      </c>
      <c r="G195" s="1973">
        <v>330000</v>
      </c>
      <c r="H195" s="1699"/>
    </row>
    <row r="196" spans="3:14" ht="20.100000000000001" customHeight="1" thickBot="1" x14ac:dyDescent="0.25">
      <c r="C196" s="1719" t="s">
        <v>23</v>
      </c>
      <c r="D196" s="1973">
        <f>D195/D194</f>
        <v>4546.1481481481478</v>
      </c>
      <c r="E196" s="1973">
        <v>4583.33</v>
      </c>
      <c r="F196" s="1973">
        <v>4583.33</v>
      </c>
      <c r="G196" s="1973">
        <v>4583.33</v>
      </c>
      <c r="H196" s="1699"/>
    </row>
    <row r="197" spans="3:14" ht="20.100000000000001" customHeight="1" thickBot="1" x14ac:dyDescent="0.25">
      <c r="C197" s="1719" t="s">
        <v>15</v>
      </c>
      <c r="D197" s="1975"/>
      <c r="E197" s="1975">
        <f t="shared" ref="E197:G199" si="6">E194/D194-1</f>
        <v>0.29629629629629628</v>
      </c>
      <c r="F197" s="1975">
        <f t="shared" si="6"/>
        <v>0</v>
      </c>
      <c r="G197" s="1975">
        <f t="shared" si="6"/>
        <v>0</v>
      </c>
      <c r="H197" s="1692"/>
      <c r="J197" s="1693"/>
      <c r="K197" s="1693"/>
      <c r="L197" s="1693"/>
      <c r="M197" s="1693"/>
      <c r="N197" s="1693"/>
    </row>
    <row r="198" spans="3:14" ht="20.100000000000001" customHeight="1" thickBot="1" x14ac:dyDescent="0.25">
      <c r="C198" s="1719" t="s">
        <v>16</v>
      </c>
      <c r="D198" s="1975"/>
      <c r="E198" s="1975">
        <f t="shared" si="6"/>
        <v>0.3442393234810095</v>
      </c>
      <c r="F198" s="1975">
        <f t="shared" si="6"/>
        <v>0</v>
      </c>
      <c r="G198" s="1975">
        <f t="shared" si="6"/>
        <v>0</v>
      </c>
      <c r="H198" s="1692"/>
    </row>
    <row r="199" spans="3:14" ht="20.100000000000001" customHeight="1" thickBot="1" x14ac:dyDescent="0.25">
      <c r="C199" s="1719" t="s">
        <v>17</v>
      </c>
      <c r="D199" s="1975"/>
      <c r="E199" s="1975">
        <f t="shared" si="6"/>
        <v>8.1787593893081212E-3</v>
      </c>
      <c r="F199" s="1975">
        <f t="shared" si="6"/>
        <v>0</v>
      </c>
      <c r="G199" s="1975">
        <f t="shared" si="6"/>
        <v>0</v>
      </c>
      <c r="H199" s="1692"/>
    </row>
    <row r="200" spans="3:14" ht="20.100000000000001" customHeight="1" thickBot="1" x14ac:dyDescent="0.25">
      <c r="C200" s="2605" t="s">
        <v>1177</v>
      </c>
      <c r="D200" s="2606"/>
      <c r="E200" s="2606"/>
      <c r="F200" s="2606"/>
      <c r="G200" s="2607"/>
      <c r="H200" s="826"/>
    </row>
    <row r="201" spans="3:14" ht="20.100000000000001" customHeight="1" x14ac:dyDescent="0.2">
      <c r="C201" s="2591"/>
      <c r="D201" s="1728">
        <v>2018</v>
      </c>
      <c r="E201" s="1728">
        <v>2019</v>
      </c>
      <c r="F201" s="1728">
        <v>2020</v>
      </c>
      <c r="G201" s="1728">
        <v>2021</v>
      </c>
      <c r="H201" s="826"/>
    </row>
    <row r="202" spans="3:14" ht="20.100000000000001" customHeight="1" thickBot="1" x14ac:dyDescent="0.25">
      <c r="C202" s="2592"/>
      <c r="D202" s="1748" t="s">
        <v>6</v>
      </c>
      <c r="E202" s="1748" t="s">
        <v>7</v>
      </c>
      <c r="F202" s="1748" t="s">
        <v>7</v>
      </c>
      <c r="G202" s="1748" t="s">
        <v>7</v>
      </c>
      <c r="H202" s="826"/>
    </row>
    <row r="203" spans="3:14" ht="20.100000000000001" customHeight="1" thickBot="1" x14ac:dyDescent="0.25">
      <c r="C203" s="1749" t="s">
        <v>104</v>
      </c>
      <c r="D203" s="1766"/>
      <c r="E203" s="1766"/>
      <c r="F203" s="1766"/>
      <c r="G203" s="1766"/>
      <c r="H203" s="1700"/>
    </row>
    <row r="204" spans="3:14" ht="20.100000000000001" customHeight="1" thickBot="1" x14ac:dyDescent="0.25">
      <c r="C204" s="1749" t="s">
        <v>105</v>
      </c>
      <c r="D204" s="1767">
        <f>D195</f>
        <v>245492</v>
      </c>
      <c r="E204" s="1767">
        <f>E195</f>
        <v>330000</v>
      </c>
      <c r="F204" s="1767">
        <f>F195</f>
        <v>330000</v>
      </c>
      <c r="G204" s="1767">
        <f>G195</f>
        <v>330000</v>
      </c>
      <c r="H204" s="1701"/>
      <c r="J204" s="1677" t="s">
        <v>732</v>
      </c>
    </row>
    <row r="205" spans="3:14" ht="20.100000000000001" customHeight="1" thickBot="1" x14ac:dyDescent="0.25">
      <c r="C205" s="1751" t="s">
        <v>68</v>
      </c>
      <c r="D205" s="1767">
        <f>D204+D203</f>
        <v>245492</v>
      </c>
      <c r="E205" s="1767">
        <f>E204+E203</f>
        <v>330000</v>
      </c>
      <c r="F205" s="1767">
        <f>F204+F203</f>
        <v>330000</v>
      </c>
      <c r="G205" s="1767">
        <f>G204+G203</f>
        <v>330000</v>
      </c>
      <c r="H205" s="1701"/>
    </row>
    <row r="206" spans="3:14" ht="20.100000000000001" customHeight="1" thickBot="1" x14ac:dyDescent="0.25">
      <c r="C206" s="1752" t="s">
        <v>70</v>
      </c>
      <c r="D206" s="1753">
        <f>D205-D195</f>
        <v>0</v>
      </c>
      <c r="E206" s="1753">
        <f>E205-E195</f>
        <v>0</v>
      </c>
      <c r="F206" s="1753">
        <f>F205-F195</f>
        <v>0</v>
      </c>
      <c r="G206" s="1753">
        <f>G205-G195</f>
        <v>0</v>
      </c>
      <c r="H206" s="1697"/>
    </row>
    <row r="207" spans="3:14" ht="20.100000000000001" customHeight="1" thickBot="1" x14ac:dyDescent="0.25">
      <c r="C207" s="1727" t="s">
        <v>645</v>
      </c>
      <c r="D207" s="2602" t="s">
        <v>731</v>
      </c>
      <c r="E207" s="2603"/>
      <c r="F207" s="2603"/>
      <c r="G207" s="2604"/>
      <c r="H207" s="857"/>
    </row>
    <row r="208" spans="3:14" ht="31.5" customHeight="1" thickBot="1" x14ac:dyDescent="0.25">
      <c r="C208" s="1719" t="s">
        <v>10</v>
      </c>
      <c r="D208" s="2602" t="s">
        <v>730</v>
      </c>
      <c r="E208" s="2603"/>
      <c r="F208" s="2603"/>
      <c r="G208" s="2604"/>
      <c r="H208" s="857"/>
    </row>
    <row r="209" spans="3:14" ht="20.100000000000001" customHeight="1" thickBot="1" x14ac:dyDescent="0.25">
      <c r="C209" s="1719" t="s">
        <v>13</v>
      </c>
      <c r="D209" s="2593" t="s">
        <v>725</v>
      </c>
      <c r="E209" s="2594"/>
      <c r="F209" s="2594"/>
      <c r="G209" s="2595"/>
      <c r="H209" s="847"/>
    </row>
    <row r="210" spans="3:14" ht="20.100000000000001" customHeight="1" x14ac:dyDescent="0.2">
      <c r="C210" s="2591"/>
      <c r="D210" s="1728">
        <v>2018</v>
      </c>
      <c r="E210" s="1728">
        <v>2019</v>
      </c>
      <c r="F210" s="1728">
        <v>2020</v>
      </c>
      <c r="G210" s="1728">
        <v>2021</v>
      </c>
      <c r="H210" s="826"/>
    </row>
    <row r="211" spans="3:14" ht="20.100000000000001" customHeight="1" thickBot="1" x14ac:dyDescent="0.25">
      <c r="C211" s="2592"/>
      <c r="D211" s="1748" t="s">
        <v>6</v>
      </c>
      <c r="E211" s="1748" t="s">
        <v>7</v>
      </c>
      <c r="F211" s="1748" t="s">
        <v>7</v>
      </c>
      <c r="G211" s="1748" t="s">
        <v>7</v>
      </c>
      <c r="H211" s="826"/>
    </row>
    <row r="212" spans="3:14" ht="20.100000000000001" customHeight="1" thickBot="1" x14ac:dyDescent="0.25">
      <c r="C212" s="1719" t="s">
        <v>9</v>
      </c>
      <c r="D212" s="1977">
        <v>174</v>
      </c>
      <c r="E212" s="1977">
        <v>228</v>
      </c>
      <c r="F212" s="1977">
        <v>228</v>
      </c>
      <c r="G212" s="1977">
        <v>175</v>
      </c>
      <c r="H212" s="876"/>
    </row>
    <row r="213" spans="3:14" ht="20.100000000000001" customHeight="1" thickBot="1" x14ac:dyDescent="0.25">
      <c r="C213" s="1719" t="s">
        <v>14</v>
      </c>
      <c r="D213" s="1977">
        <v>646622.76</v>
      </c>
      <c r="E213" s="1977">
        <v>859000</v>
      </c>
      <c r="F213" s="1977">
        <v>862000</v>
      </c>
      <c r="G213" s="1977">
        <v>662000</v>
      </c>
      <c r="H213" s="876"/>
    </row>
    <row r="214" spans="3:14" ht="20.100000000000001" customHeight="1" thickBot="1" x14ac:dyDescent="0.25">
      <c r="C214" s="1719" t="s">
        <v>23</v>
      </c>
      <c r="D214" s="1977">
        <f>D213/D212</f>
        <v>3716.2227586206895</v>
      </c>
      <c r="E214" s="1977">
        <f>E213/E212</f>
        <v>3767.5438596491226</v>
      </c>
      <c r="F214" s="1977">
        <f>F213/F212</f>
        <v>3780.7017543859647</v>
      </c>
      <c r="G214" s="1977">
        <f>G213/G212</f>
        <v>3782.8571428571427</v>
      </c>
      <c r="H214" s="876"/>
    </row>
    <row r="215" spans="3:14" ht="20.100000000000001" customHeight="1" thickBot="1" x14ac:dyDescent="0.25">
      <c r="C215" s="1719" t="s">
        <v>15</v>
      </c>
      <c r="D215" s="1975"/>
      <c r="E215" s="1975">
        <f t="shared" ref="E215:G217" si="7">E212/D212-1</f>
        <v>0.31034482758620685</v>
      </c>
      <c r="F215" s="1975">
        <f t="shared" si="7"/>
        <v>0</v>
      </c>
      <c r="G215" s="1975">
        <f t="shared" si="7"/>
        <v>-0.23245614035087714</v>
      </c>
      <c r="H215" s="1692"/>
      <c r="J215" s="1693"/>
      <c r="K215" s="1693"/>
      <c r="L215" s="1693"/>
      <c r="M215" s="1693"/>
      <c r="N215" s="1693"/>
    </row>
    <row r="216" spans="3:14" ht="20.100000000000001" customHeight="1" thickBot="1" x14ac:dyDescent="0.25">
      <c r="C216" s="1719" t="s">
        <v>16</v>
      </c>
      <c r="D216" s="1975"/>
      <c r="E216" s="1975">
        <f t="shared" si="7"/>
        <v>0.32844071247971529</v>
      </c>
      <c r="F216" s="1975">
        <f t="shared" si="7"/>
        <v>3.4924330616996624E-3</v>
      </c>
      <c r="G216" s="1975">
        <f t="shared" si="7"/>
        <v>-0.23201856148491884</v>
      </c>
      <c r="H216" s="1692"/>
    </row>
    <row r="217" spans="3:14" ht="20.100000000000001" customHeight="1" thickBot="1" x14ac:dyDescent="0.25">
      <c r="C217" s="1719" t="s">
        <v>17</v>
      </c>
      <c r="D217" s="1975"/>
      <c r="E217" s="1975">
        <f t="shared" si="7"/>
        <v>1.3810017418730114E-2</v>
      </c>
      <c r="F217" s="1975">
        <f t="shared" si="7"/>
        <v>3.4924330616996624E-3</v>
      </c>
      <c r="G217" s="1975">
        <f t="shared" si="7"/>
        <v>5.7010275107716168E-4</v>
      </c>
      <c r="H217" s="1692"/>
    </row>
    <row r="218" spans="3:14" ht="20.100000000000001" customHeight="1" thickBot="1" x14ac:dyDescent="0.25">
      <c r="C218" s="2605" t="s">
        <v>1183</v>
      </c>
      <c r="D218" s="2606"/>
      <c r="E218" s="2606"/>
      <c r="F218" s="2606"/>
      <c r="G218" s="2607"/>
      <c r="H218" s="826"/>
    </row>
    <row r="219" spans="3:14" ht="20.100000000000001" customHeight="1" x14ac:dyDescent="0.2">
      <c r="C219" s="2591"/>
      <c r="D219" s="1728">
        <v>2018</v>
      </c>
      <c r="E219" s="1728">
        <v>2019</v>
      </c>
      <c r="F219" s="1728">
        <v>2020</v>
      </c>
      <c r="G219" s="1728">
        <v>2021</v>
      </c>
      <c r="H219" s="826"/>
    </row>
    <row r="220" spans="3:14" ht="20.100000000000001" customHeight="1" thickBot="1" x14ac:dyDescent="0.25">
      <c r="C220" s="2592"/>
      <c r="D220" s="1748" t="s">
        <v>6</v>
      </c>
      <c r="E220" s="1748" t="s">
        <v>7</v>
      </c>
      <c r="F220" s="1748" t="s">
        <v>7</v>
      </c>
      <c r="G220" s="1748" t="s">
        <v>7</v>
      </c>
      <c r="H220" s="826"/>
    </row>
    <row r="221" spans="3:14" ht="20.100000000000001" customHeight="1" thickBot="1" x14ac:dyDescent="0.25">
      <c r="C221" s="1749" t="s">
        <v>104</v>
      </c>
      <c r="D221" s="1766"/>
      <c r="E221" s="1766"/>
      <c r="F221" s="1766"/>
      <c r="G221" s="1766"/>
      <c r="H221" s="1700"/>
    </row>
    <row r="222" spans="3:14" ht="20.100000000000001" customHeight="1" thickBot="1" x14ac:dyDescent="0.25">
      <c r="C222" s="1749" t="s">
        <v>105</v>
      </c>
      <c r="D222" s="1767">
        <f>D213</f>
        <v>646622.76</v>
      </c>
      <c r="E222" s="1767">
        <f>E213</f>
        <v>859000</v>
      </c>
      <c r="F222" s="1767">
        <f>F213</f>
        <v>862000</v>
      </c>
      <c r="G222" s="1767">
        <f>G213</f>
        <v>662000</v>
      </c>
      <c r="H222" s="1701"/>
    </row>
    <row r="223" spans="3:14" ht="20.100000000000001" customHeight="1" thickBot="1" x14ac:dyDescent="0.25">
      <c r="C223" s="1751" t="s">
        <v>68</v>
      </c>
      <c r="D223" s="1767">
        <f>D222+D221</f>
        <v>646622.76</v>
      </c>
      <c r="E223" s="1767">
        <f>E222+E221</f>
        <v>859000</v>
      </c>
      <c r="F223" s="1767">
        <f>F222+F221</f>
        <v>862000</v>
      </c>
      <c r="G223" s="1767">
        <f>G222+G221</f>
        <v>662000</v>
      </c>
      <c r="H223" s="1701"/>
    </row>
    <row r="224" spans="3:14" ht="20.100000000000001" customHeight="1" thickBot="1" x14ac:dyDescent="0.25">
      <c r="C224" s="1752" t="s">
        <v>70</v>
      </c>
      <c r="D224" s="1753">
        <f>D223-D213</f>
        <v>0</v>
      </c>
      <c r="E224" s="1753">
        <f>E223-E213</f>
        <v>0</v>
      </c>
      <c r="F224" s="1753">
        <f>F223-F213</f>
        <v>0</v>
      </c>
      <c r="G224" s="1753">
        <f>G223-G213</f>
        <v>0</v>
      </c>
      <c r="H224" s="1697"/>
    </row>
    <row r="225" spans="3:14" ht="20.100000000000001" customHeight="1" thickBot="1" x14ac:dyDescent="0.25">
      <c r="C225" s="1727" t="s">
        <v>728</v>
      </c>
      <c r="D225" s="2602" t="s">
        <v>727</v>
      </c>
      <c r="E225" s="2603"/>
      <c r="F225" s="2603"/>
      <c r="G225" s="2604"/>
      <c r="H225" s="857"/>
    </row>
    <row r="226" spans="3:14" ht="36.75" customHeight="1" thickBot="1" x14ac:dyDescent="0.25">
      <c r="C226" s="1719" t="s">
        <v>10</v>
      </c>
      <c r="D226" s="2602" t="s">
        <v>726</v>
      </c>
      <c r="E226" s="2603"/>
      <c r="F226" s="2603"/>
      <c r="G226" s="2604"/>
      <c r="H226" s="857"/>
    </row>
    <row r="227" spans="3:14" ht="20.100000000000001" customHeight="1" thickBot="1" x14ac:dyDescent="0.25">
      <c r="C227" s="1719" t="s">
        <v>13</v>
      </c>
      <c r="D227" s="2593" t="s">
        <v>725</v>
      </c>
      <c r="E227" s="2594"/>
      <c r="F227" s="2594"/>
      <c r="G227" s="2595"/>
      <c r="H227" s="847"/>
    </row>
    <row r="228" spans="3:14" ht="20.100000000000001" customHeight="1" x14ac:dyDescent="0.2">
      <c r="C228" s="2591"/>
      <c r="D228" s="1728">
        <v>2018</v>
      </c>
      <c r="E228" s="1728">
        <v>2019</v>
      </c>
      <c r="F228" s="1728">
        <v>2020</v>
      </c>
      <c r="G228" s="1728">
        <v>2021</v>
      </c>
      <c r="H228" s="826"/>
    </row>
    <row r="229" spans="3:14" ht="20.100000000000001" customHeight="1" thickBot="1" x14ac:dyDescent="0.25">
      <c r="C229" s="2592"/>
      <c r="D229" s="1748" t="s">
        <v>6</v>
      </c>
      <c r="E229" s="1748" t="s">
        <v>7</v>
      </c>
      <c r="F229" s="1748" t="s">
        <v>7</v>
      </c>
      <c r="G229" s="1748" t="s">
        <v>7</v>
      </c>
      <c r="H229" s="826"/>
    </row>
    <row r="230" spans="3:14" ht="20.100000000000001" customHeight="1" thickBot="1" x14ac:dyDescent="0.25">
      <c r="C230" s="1719" t="s">
        <v>9</v>
      </c>
      <c r="D230" s="1976">
        <v>200</v>
      </c>
      <c r="E230" s="1976">
        <v>110</v>
      </c>
      <c r="F230" s="1976">
        <v>100</v>
      </c>
      <c r="G230" s="1976">
        <v>100</v>
      </c>
      <c r="H230" s="1702"/>
    </row>
    <row r="231" spans="3:14" ht="20.100000000000001" customHeight="1" thickBot="1" x14ac:dyDescent="0.25">
      <c r="C231" s="1719" t="s">
        <v>14</v>
      </c>
      <c r="D231" s="1973">
        <v>60000</v>
      </c>
      <c r="E231" s="1973">
        <v>33000</v>
      </c>
      <c r="F231" s="1973">
        <v>30000</v>
      </c>
      <c r="G231" s="1973">
        <v>30000</v>
      </c>
      <c r="H231" s="1699"/>
    </row>
    <row r="232" spans="3:14" ht="20.100000000000001" customHeight="1" thickBot="1" x14ac:dyDescent="0.25">
      <c r="C232" s="1719" t="s">
        <v>23</v>
      </c>
      <c r="D232" s="1973">
        <f>D231/D230</f>
        <v>300</v>
      </c>
      <c r="E232" s="1973">
        <f>E231/E230</f>
        <v>300</v>
      </c>
      <c r="F232" s="1973">
        <f>F231/F230</f>
        <v>300</v>
      </c>
      <c r="G232" s="1973">
        <f>G231/G230</f>
        <v>300</v>
      </c>
      <c r="H232" s="1699"/>
    </row>
    <row r="233" spans="3:14" ht="20.100000000000001" customHeight="1" thickBot="1" x14ac:dyDescent="0.25">
      <c r="C233" s="1719" t="s">
        <v>15</v>
      </c>
      <c r="D233" s="1975"/>
      <c r="E233" s="1975">
        <f t="shared" ref="E233:G235" si="8">E230/D230-1</f>
        <v>-0.44999999999999996</v>
      </c>
      <c r="F233" s="1975">
        <f t="shared" si="8"/>
        <v>-9.0909090909090939E-2</v>
      </c>
      <c r="G233" s="1975">
        <f t="shared" si="8"/>
        <v>0</v>
      </c>
      <c r="H233" s="1692"/>
      <c r="J233" s="1693"/>
      <c r="K233" s="1693"/>
      <c r="L233" s="1693"/>
      <c r="M233" s="1693"/>
      <c r="N233" s="1693"/>
    </row>
    <row r="234" spans="3:14" ht="20.100000000000001" customHeight="1" thickBot="1" x14ac:dyDescent="0.25">
      <c r="C234" s="1719" t="s">
        <v>16</v>
      </c>
      <c r="D234" s="1975"/>
      <c r="E234" s="1975">
        <f t="shared" si="8"/>
        <v>-0.44999999999999996</v>
      </c>
      <c r="F234" s="1975">
        <f t="shared" si="8"/>
        <v>-9.0909090909090939E-2</v>
      </c>
      <c r="G234" s="1975">
        <f t="shared" si="8"/>
        <v>0</v>
      </c>
      <c r="H234" s="1692"/>
    </row>
    <row r="235" spans="3:14" ht="20.100000000000001" customHeight="1" thickBot="1" x14ac:dyDescent="0.25">
      <c r="C235" s="1719" t="s">
        <v>17</v>
      </c>
      <c r="D235" s="1975"/>
      <c r="E235" s="1975">
        <f t="shared" si="8"/>
        <v>0</v>
      </c>
      <c r="F235" s="1975">
        <f t="shared" si="8"/>
        <v>0</v>
      </c>
      <c r="G235" s="1975">
        <f t="shared" si="8"/>
        <v>0</v>
      </c>
      <c r="H235" s="1692"/>
    </row>
    <row r="236" spans="3:14" ht="20.100000000000001" customHeight="1" thickBot="1" x14ac:dyDescent="0.25">
      <c r="C236" s="2605" t="s">
        <v>1185</v>
      </c>
      <c r="D236" s="2606"/>
      <c r="E236" s="2606"/>
      <c r="F236" s="2606"/>
      <c r="G236" s="2607"/>
      <c r="H236" s="826"/>
    </row>
    <row r="237" spans="3:14" ht="20.100000000000001" customHeight="1" x14ac:dyDescent="0.2">
      <c r="C237" s="2591"/>
      <c r="D237" s="1728">
        <v>2018</v>
      </c>
      <c r="E237" s="1728">
        <v>2019</v>
      </c>
      <c r="F237" s="1728">
        <v>2020</v>
      </c>
      <c r="G237" s="1728">
        <v>2021</v>
      </c>
      <c r="H237" s="826"/>
    </row>
    <row r="238" spans="3:14" ht="20.100000000000001" customHeight="1" thickBot="1" x14ac:dyDescent="0.25">
      <c r="C238" s="2592"/>
      <c r="D238" s="1748" t="s">
        <v>6</v>
      </c>
      <c r="E238" s="1748" t="s">
        <v>7</v>
      </c>
      <c r="F238" s="1748" t="s">
        <v>7</v>
      </c>
      <c r="G238" s="1748" t="s">
        <v>7</v>
      </c>
      <c r="H238" s="826"/>
    </row>
    <row r="239" spans="3:14" ht="20.100000000000001" customHeight="1" thickBot="1" x14ac:dyDescent="0.25">
      <c r="C239" s="1749" t="s">
        <v>104</v>
      </c>
      <c r="D239" s="1766"/>
      <c r="E239" s="1766"/>
      <c r="F239" s="1766"/>
      <c r="G239" s="1766"/>
      <c r="H239" s="1700"/>
    </row>
    <row r="240" spans="3:14" ht="20.100000000000001" customHeight="1" thickBot="1" x14ac:dyDescent="0.25">
      <c r="C240" s="1749" t="s">
        <v>105</v>
      </c>
      <c r="D240" s="1767">
        <f>D231</f>
        <v>60000</v>
      </c>
      <c r="E240" s="1767">
        <f>E231</f>
        <v>33000</v>
      </c>
      <c r="F240" s="1767">
        <f>F231</f>
        <v>30000</v>
      </c>
      <c r="G240" s="1767">
        <f>G231</f>
        <v>30000</v>
      </c>
      <c r="H240" s="1701"/>
    </row>
    <row r="241" spans="3:13" ht="20.100000000000001" customHeight="1" thickBot="1" x14ac:dyDescent="0.25">
      <c r="C241" s="1751" t="s">
        <v>68</v>
      </c>
      <c r="D241" s="1767">
        <f>D240+D239</f>
        <v>60000</v>
      </c>
      <c r="E241" s="1767">
        <f>E240+E239</f>
        <v>33000</v>
      </c>
      <c r="F241" s="1767">
        <f>F240+F239</f>
        <v>30000</v>
      </c>
      <c r="G241" s="1767">
        <f>G240+G239</f>
        <v>30000</v>
      </c>
      <c r="H241" s="1701"/>
    </row>
    <row r="242" spans="3:13" ht="20.100000000000001" customHeight="1" thickBot="1" x14ac:dyDescent="0.25">
      <c r="C242" s="1752" t="s">
        <v>70</v>
      </c>
      <c r="D242" s="1753">
        <f>D241-D231</f>
        <v>0</v>
      </c>
      <c r="E242" s="1753">
        <f>E241-E231</f>
        <v>0</v>
      </c>
      <c r="F242" s="1753">
        <f>F241-F231</f>
        <v>0</v>
      </c>
      <c r="G242" s="1753">
        <f>G241-G231</f>
        <v>0</v>
      </c>
      <c r="H242" s="1697"/>
    </row>
    <row r="243" spans="3:13" ht="45.75" customHeight="1" thickBot="1" x14ac:dyDescent="0.25">
      <c r="C243" s="1723" t="s">
        <v>639</v>
      </c>
      <c r="D243" s="2599" t="s">
        <v>723</v>
      </c>
      <c r="E243" s="2600"/>
      <c r="F243" s="2600"/>
      <c r="G243" s="2601"/>
      <c r="H243" s="857"/>
    </row>
    <row r="244" spans="3:13" ht="20.100000000000001" customHeight="1" thickBot="1" x14ac:dyDescent="0.25">
      <c r="C244" s="2602" t="s">
        <v>637</v>
      </c>
      <c r="D244" s="2603"/>
      <c r="E244" s="2603"/>
      <c r="F244" s="2603"/>
      <c r="G244" s="2604"/>
      <c r="H244" s="857"/>
      <c r="K244" s="1686"/>
      <c r="M244" s="1686"/>
    </row>
    <row r="245" spans="3:13" ht="20.100000000000001" customHeight="1" x14ac:dyDescent="0.2">
      <c r="C245" s="1724"/>
      <c r="D245" s="1724">
        <v>2018</v>
      </c>
      <c r="E245" s="1724">
        <v>2019</v>
      </c>
      <c r="F245" s="1724">
        <v>2020</v>
      </c>
      <c r="G245" s="1724">
        <v>2021</v>
      </c>
      <c r="H245" s="857"/>
      <c r="K245" s="1686"/>
      <c r="M245" s="1686"/>
    </row>
    <row r="246" spans="3:13" ht="20.100000000000001" customHeight="1" thickBot="1" x14ac:dyDescent="0.25">
      <c r="C246" s="1717" t="s">
        <v>722</v>
      </c>
      <c r="D246" s="1722">
        <v>40</v>
      </c>
      <c r="E246" s="1722">
        <v>40</v>
      </c>
      <c r="F246" s="1722">
        <v>40</v>
      </c>
      <c r="G246" s="1722">
        <v>40</v>
      </c>
      <c r="H246" s="1685"/>
    </row>
    <row r="247" spans="3:13" ht="20.100000000000001" customHeight="1" thickBot="1" x14ac:dyDescent="0.25">
      <c r="C247" s="1719" t="s">
        <v>721</v>
      </c>
      <c r="D247" s="1774">
        <v>0.06</v>
      </c>
      <c r="E247" s="1774">
        <v>7.0000000000000007E-2</v>
      </c>
      <c r="F247" s="1774">
        <v>7.0000000000000007E-2</v>
      </c>
      <c r="G247" s="1774">
        <v>0.08</v>
      </c>
      <c r="H247" s="1706"/>
    </row>
    <row r="248" spans="3:13" ht="20.100000000000001" customHeight="1" thickBot="1" x14ac:dyDescent="0.25">
      <c r="C248" s="2596" t="s">
        <v>630</v>
      </c>
      <c r="D248" s="2597"/>
      <c r="E248" s="2597"/>
      <c r="F248" s="2597"/>
      <c r="G248" s="2598"/>
      <c r="H248" s="928"/>
    </row>
    <row r="249" spans="3:13" ht="20.100000000000001" customHeight="1" thickBot="1" x14ac:dyDescent="0.25">
      <c r="C249" s="2596" t="s">
        <v>100</v>
      </c>
      <c r="D249" s="2597"/>
      <c r="E249" s="2597"/>
      <c r="F249" s="2597"/>
      <c r="G249" s="2598"/>
      <c r="H249" s="928"/>
    </row>
    <row r="250" spans="3:13" ht="20.100000000000001" customHeight="1" thickBot="1" x14ac:dyDescent="0.25">
      <c r="C250" s="1727" t="s">
        <v>629</v>
      </c>
      <c r="D250" s="2602" t="s">
        <v>720</v>
      </c>
      <c r="E250" s="2603"/>
      <c r="F250" s="2603"/>
      <c r="G250" s="2604"/>
      <c r="H250" s="857"/>
    </row>
    <row r="251" spans="3:13" ht="37.5" customHeight="1" thickBot="1" x14ac:dyDescent="0.25">
      <c r="C251" s="1719" t="s">
        <v>10</v>
      </c>
      <c r="D251" s="2602" t="s">
        <v>719</v>
      </c>
      <c r="E251" s="2603"/>
      <c r="F251" s="2603"/>
      <c r="G251" s="2604"/>
      <c r="H251" s="857"/>
    </row>
    <row r="252" spans="3:13" ht="46.5" customHeight="1" thickBot="1" x14ac:dyDescent="0.25">
      <c r="C252" s="1719" t="s">
        <v>13</v>
      </c>
      <c r="D252" s="2602" t="s">
        <v>718</v>
      </c>
      <c r="E252" s="2603"/>
      <c r="F252" s="2603"/>
      <c r="G252" s="2604"/>
      <c r="H252" s="857"/>
    </row>
    <row r="253" spans="3:13" ht="20.100000000000001" customHeight="1" x14ac:dyDescent="0.2">
      <c r="C253" s="2591"/>
      <c r="D253" s="1728">
        <v>2018</v>
      </c>
      <c r="E253" s="1728">
        <v>2019</v>
      </c>
      <c r="F253" s="1728">
        <v>2020</v>
      </c>
      <c r="G253" s="1728">
        <v>2021</v>
      </c>
      <c r="H253" s="826"/>
    </row>
    <row r="254" spans="3:13" ht="20.100000000000001" customHeight="1" thickBot="1" x14ac:dyDescent="0.25">
      <c r="C254" s="2592"/>
      <c r="D254" s="1748" t="s">
        <v>6</v>
      </c>
      <c r="E254" s="1748" t="s">
        <v>7</v>
      </c>
      <c r="F254" s="1748" t="s">
        <v>7</v>
      </c>
      <c r="G254" s="1748" t="s">
        <v>7</v>
      </c>
      <c r="H254" s="826"/>
    </row>
    <row r="255" spans="3:13" ht="20.100000000000001" customHeight="1" thickBot="1" x14ac:dyDescent="0.25">
      <c r="C255" s="1719" t="s">
        <v>9</v>
      </c>
      <c r="D255" s="1976">
        <v>40</v>
      </c>
      <c r="E255" s="1976">
        <v>40</v>
      </c>
      <c r="F255" s="1976">
        <v>40</v>
      </c>
      <c r="G255" s="1976">
        <v>40</v>
      </c>
      <c r="H255" s="1702"/>
    </row>
    <row r="256" spans="3:13" ht="20.100000000000001" customHeight="1" thickBot="1" x14ac:dyDescent="0.25">
      <c r="C256" s="1719" t="s">
        <v>14</v>
      </c>
      <c r="D256" s="1973">
        <v>30000</v>
      </c>
      <c r="E256" s="1973">
        <v>30000</v>
      </c>
      <c r="F256" s="1973">
        <v>30000</v>
      </c>
      <c r="G256" s="1973">
        <v>30000</v>
      </c>
      <c r="H256" s="1699"/>
    </row>
    <row r="257" spans="3:14" ht="20.100000000000001" customHeight="1" thickBot="1" x14ac:dyDescent="0.25">
      <c r="C257" s="1719" t="s">
        <v>23</v>
      </c>
      <c r="D257" s="1973">
        <f>D256/D255</f>
        <v>750</v>
      </c>
      <c r="E257" s="1973">
        <f>E256/E255</f>
        <v>750</v>
      </c>
      <c r="F257" s="1973">
        <f>F256/F255</f>
        <v>750</v>
      </c>
      <c r="G257" s="1973">
        <f>G256/G255</f>
        <v>750</v>
      </c>
      <c r="H257" s="1699"/>
    </row>
    <row r="258" spans="3:14" ht="20.100000000000001" customHeight="1" thickBot="1" x14ac:dyDescent="0.25">
      <c r="C258" s="1719" t="s">
        <v>15</v>
      </c>
      <c r="D258" s="1975"/>
      <c r="E258" s="1975">
        <f t="shared" ref="E258:G260" si="9">E255/D255-1</f>
        <v>0</v>
      </c>
      <c r="F258" s="1975">
        <f t="shared" si="9"/>
        <v>0</v>
      </c>
      <c r="G258" s="1975">
        <f t="shared" si="9"/>
        <v>0</v>
      </c>
      <c r="H258" s="1692"/>
      <c r="M258" s="1693"/>
      <c r="N258" s="1693"/>
    </row>
    <row r="259" spans="3:14" ht="20.100000000000001" customHeight="1" thickBot="1" x14ac:dyDescent="0.25">
      <c r="C259" s="1719" t="s">
        <v>16</v>
      </c>
      <c r="D259" s="1975"/>
      <c r="E259" s="1975">
        <f t="shared" si="9"/>
        <v>0</v>
      </c>
      <c r="F259" s="1975">
        <f t="shared" si="9"/>
        <v>0</v>
      </c>
      <c r="G259" s="1975">
        <f t="shared" si="9"/>
        <v>0</v>
      </c>
      <c r="H259" s="1692"/>
    </row>
    <row r="260" spans="3:14" ht="20.100000000000001" customHeight="1" thickBot="1" x14ac:dyDescent="0.25">
      <c r="C260" s="1719" t="s">
        <v>17</v>
      </c>
      <c r="D260" s="1975"/>
      <c r="E260" s="1975">
        <f t="shared" si="9"/>
        <v>0</v>
      </c>
      <c r="F260" s="1975">
        <f t="shared" si="9"/>
        <v>0</v>
      </c>
      <c r="G260" s="1975">
        <f t="shared" si="9"/>
        <v>0</v>
      </c>
      <c r="H260" s="1692"/>
    </row>
    <row r="261" spans="3:14" ht="20.100000000000001" customHeight="1" thickBot="1" x14ac:dyDescent="0.25">
      <c r="C261" s="2605" t="s">
        <v>1177</v>
      </c>
      <c r="D261" s="2606"/>
      <c r="E261" s="2606"/>
      <c r="F261" s="2606"/>
      <c r="G261" s="2607"/>
      <c r="H261" s="826"/>
    </row>
    <row r="262" spans="3:14" ht="20.100000000000001" customHeight="1" x14ac:dyDescent="0.2">
      <c r="C262" s="2591"/>
      <c r="D262" s="1728">
        <v>2018</v>
      </c>
      <c r="E262" s="1728">
        <v>2019</v>
      </c>
      <c r="F262" s="1728">
        <v>2020</v>
      </c>
      <c r="G262" s="1728">
        <v>2021</v>
      </c>
      <c r="H262" s="826"/>
    </row>
    <row r="263" spans="3:14" ht="20.100000000000001" customHeight="1" thickBot="1" x14ac:dyDescent="0.25">
      <c r="C263" s="2592"/>
      <c r="D263" s="1748" t="s">
        <v>6</v>
      </c>
      <c r="E263" s="1748" t="s">
        <v>7</v>
      </c>
      <c r="F263" s="1748" t="s">
        <v>7</v>
      </c>
      <c r="G263" s="1748" t="s">
        <v>7</v>
      </c>
      <c r="H263" s="826"/>
    </row>
    <row r="264" spans="3:14" ht="20.100000000000001" customHeight="1" thickBot="1" x14ac:dyDescent="0.25">
      <c r="C264" s="1749" t="s">
        <v>104</v>
      </c>
      <c r="D264" s="1766"/>
      <c r="E264" s="1766"/>
      <c r="F264" s="1766"/>
      <c r="G264" s="1766"/>
      <c r="H264" s="1700"/>
    </row>
    <row r="265" spans="3:14" ht="20.100000000000001" customHeight="1" thickBot="1" x14ac:dyDescent="0.25">
      <c r="C265" s="1749" t="s">
        <v>105</v>
      </c>
      <c r="D265" s="1767">
        <f>D256</f>
        <v>30000</v>
      </c>
      <c r="E265" s="1767">
        <f>E256</f>
        <v>30000</v>
      </c>
      <c r="F265" s="1767">
        <f>F256</f>
        <v>30000</v>
      </c>
      <c r="G265" s="1767">
        <f>G256</f>
        <v>30000</v>
      </c>
      <c r="H265" s="1701"/>
    </row>
    <row r="266" spans="3:14" ht="20.100000000000001" customHeight="1" thickBot="1" x14ac:dyDescent="0.25">
      <c r="C266" s="1751" t="s">
        <v>68</v>
      </c>
      <c r="D266" s="1767">
        <f>D265+D264</f>
        <v>30000</v>
      </c>
      <c r="E266" s="1767">
        <f>E265+E264</f>
        <v>30000</v>
      </c>
      <c r="F266" s="1767">
        <f>F265+F264</f>
        <v>30000</v>
      </c>
      <c r="G266" s="1767">
        <f>G265+G264</f>
        <v>30000</v>
      </c>
      <c r="H266" s="1701"/>
    </row>
    <row r="267" spans="3:14" ht="20.100000000000001" customHeight="1" thickBot="1" x14ac:dyDescent="0.25">
      <c r="C267" s="1752" t="s">
        <v>70</v>
      </c>
      <c r="D267" s="1753">
        <f>D266-D256</f>
        <v>0</v>
      </c>
      <c r="E267" s="1753">
        <f>E266-E256</f>
        <v>0</v>
      </c>
      <c r="F267" s="1753">
        <f>F266-F256</f>
        <v>0</v>
      </c>
      <c r="G267" s="1753">
        <f>G266-G256</f>
        <v>0</v>
      </c>
      <c r="H267" s="1697"/>
    </row>
    <row r="268" spans="3:14" ht="39" customHeight="1" thickBot="1" x14ac:dyDescent="0.25">
      <c r="C268" s="1723" t="s">
        <v>625</v>
      </c>
      <c r="D268" s="2599" t="s">
        <v>717</v>
      </c>
      <c r="E268" s="2600"/>
      <c r="F268" s="2600"/>
      <c r="G268" s="2601"/>
      <c r="H268" s="857"/>
    </row>
    <row r="269" spans="3:14" ht="20.100000000000001" customHeight="1" thickBot="1" x14ac:dyDescent="0.25">
      <c r="C269" s="2602" t="s">
        <v>623</v>
      </c>
      <c r="D269" s="2603"/>
      <c r="E269" s="2603"/>
      <c r="F269" s="2603"/>
      <c r="G269" s="2604"/>
      <c r="H269" s="857"/>
      <c r="K269" s="1686"/>
      <c r="M269" s="1686"/>
    </row>
    <row r="270" spans="3:14" ht="20.100000000000001" customHeight="1" x14ac:dyDescent="0.2">
      <c r="C270" s="1724"/>
      <c r="D270" s="1724">
        <v>2018</v>
      </c>
      <c r="E270" s="1724">
        <v>2019</v>
      </c>
      <c r="F270" s="1724">
        <v>2020</v>
      </c>
      <c r="G270" s="1724">
        <v>2021</v>
      </c>
      <c r="H270" s="857"/>
      <c r="K270" s="1686"/>
      <c r="M270" s="1686"/>
    </row>
    <row r="271" spans="3:14" ht="20.100000000000001" customHeight="1" thickBot="1" x14ac:dyDescent="0.25">
      <c r="C271" s="1717" t="s">
        <v>716</v>
      </c>
      <c r="D271" s="1722">
        <v>100</v>
      </c>
      <c r="E271" s="1722">
        <v>100</v>
      </c>
      <c r="F271" s="1722">
        <v>100</v>
      </c>
      <c r="G271" s="1722">
        <v>100</v>
      </c>
      <c r="H271" s="1685"/>
    </row>
    <row r="272" spans="3:14" ht="20.100000000000001" customHeight="1" thickBot="1" x14ac:dyDescent="0.25">
      <c r="C272" s="2596" t="s">
        <v>715</v>
      </c>
      <c r="D272" s="2597"/>
      <c r="E272" s="2597"/>
      <c r="F272" s="2597"/>
      <c r="G272" s="2598"/>
      <c r="H272" s="928"/>
    </row>
    <row r="273" spans="3:14" ht="20.100000000000001" customHeight="1" thickBot="1" x14ac:dyDescent="0.25">
      <c r="C273" s="2596" t="s">
        <v>121</v>
      </c>
      <c r="D273" s="2597"/>
      <c r="E273" s="2597"/>
      <c r="F273" s="2597"/>
      <c r="G273" s="2598"/>
      <c r="H273" s="928"/>
    </row>
    <row r="274" spans="3:14" ht="20.100000000000001" customHeight="1" thickBot="1" x14ac:dyDescent="0.25">
      <c r="C274" s="1727" t="s">
        <v>629</v>
      </c>
      <c r="D274" s="2602" t="s">
        <v>714</v>
      </c>
      <c r="E274" s="2603"/>
      <c r="F274" s="2603"/>
      <c r="G274" s="2604"/>
      <c r="H274" s="857"/>
    </row>
    <row r="275" spans="3:14" ht="20.100000000000001" customHeight="1" thickBot="1" x14ac:dyDescent="0.25">
      <c r="C275" s="1719" t="s">
        <v>10</v>
      </c>
      <c r="D275" s="2602" t="s">
        <v>714</v>
      </c>
      <c r="E275" s="2603"/>
      <c r="F275" s="2603"/>
      <c r="G275" s="2604"/>
      <c r="H275" s="857"/>
    </row>
    <row r="276" spans="3:14" ht="20.100000000000001" customHeight="1" thickBot="1" x14ac:dyDescent="0.25">
      <c r="C276" s="1719" t="s">
        <v>13</v>
      </c>
      <c r="D276" s="2593" t="s">
        <v>713</v>
      </c>
      <c r="E276" s="2594"/>
      <c r="F276" s="2594"/>
      <c r="G276" s="2595"/>
      <c r="H276" s="847"/>
    </row>
    <row r="277" spans="3:14" ht="20.100000000000001" customHeight="1" x14ac:dyDescent="0.2">
      <c r="C277" s="2591"/>
      <c r="D277" s="1728">
        <v>2018</v>
      </c>
      <c r="E277" s="1728">
        <v>2019</v>
      </c>
      <c r="F277" s="1728">
        <v>2020</v>
      </c>
      <c r="G277" s="1728">
        <v>2021</v>
      </c>
      <c r="H277" s="826"/>
    </row>
    <row r="278" spans="3:14" ht="20.100000000000001" customHeight="1" thickBot="1" x14ac:dyDescent="0.25">
      <c r="C278" s="2592"/>
      <c r="D278" s="1748" t="s">
        <v>6</v>
      </c>
      <c r="E278" s="1748" t="s">
        <v>7</v>
      </c>
      <c r="F278" s="1748" t="s">
        <v>7</v>
      </c>
      <c r="G278" s="1748" t="s">
        <v>7</v>
      </c>
      <c r="H278" s="826"/>
    </row>
    <row r="279" spans="3:14" ht="20.100000000000001" customHeight="1" thickBot="1" x14ac:dyDescent="0.25">
      <c r="C279" s="1719" t="s">
        <v>9</v>
      </c>
      <c r="D279" s="1976">
        <v>40</v>
      </c>
      <c r="E279" s="1976"/>
      <c r="F279" s="1976"/>
      <c r="G279" s="1976"/>
      <c r="H279" s="1702"/>
    </row>
    <row r="280" spans="3:14" ht="20.100000000000001" customHeight="1" thickBot="1" x14ac:dyDescent="0.25">
      <c r="C280" s="1719" t="s">
        <v>14</v>
      </c>
      <c r="D280" s="1973">
        <v>30000</v>
      </c>
      <c r="E280" s="1973"/>
      <c r="F280" s="1973"/>
      <c r="G280" s="1973"/>
      <c r="H280" s="1699"/>
    </row>
    <row r="281" spans="3:14" ht="20.100000000000001" customHeight="1" thickBot="1" x14ac:dyDescent="0.25">
      <c r="C281" s="1719" t="s">
        <v>23</v>
      </c>
      <c r="D281" s="1973">
        <v>750</v>
      </c>
      <c r="E281" s="1973"/>
      <c r="F281" s="1973"/>
      <c r="G281" s="1973"/>
      <c r="H281" s="1699"/>
    </row>
    <row r="282" spans="3:14" ht="20.100000000000001" customHeight="1" thickBot="1" x14ac:dyDescent="0.25">
      <c r="C282" s="1719" t="s">
        <v>15</v>
      </c>
      <c r="D282" s="1975"/>
      <c r="E282" s="1975">
        <f>E279/D279-1</f>
        <v>-1</v>
      </c>
      <c r="F282" s="1975"/>
      <c r="G282" s="1975"/>
      <c r="H282" s="1692"/>
      <c r="J282" s="1693"/>
      <c r="K282" s="1693"/>
      <c r="L282" s="1693"/>
      <c r="M282" s="1693"/>
      <c r="N282" s="1693"/>
    </row>
    <row r="283" spans="3:14" ht="20.100000000000001" customHeight="1" thickBot="1" x14ac:dyDescent="0.25">
      <c r="C283" s="1719" t="s">
        <v>16</v>
      </c>
      <c r="D283" s="1975"/>
      <c r="E283" s="1975">
        <f>E280/D280-1</f>
        <v>-1</v>
      </c>
      <c r="F283" s="1975"/>
      <c r="G283" s="1975"/>
      <c r="H283" s="1692"/>
    </row>
    <row r="284" spans="3:14" ht="20.100000000000001" customHeight="1" thickBot="1" x14ac:dyDescent="0.25">
      <c r="C284" s="1719" t="s">
        <v>17</v>
      </c>
      <c r="D284" s="1975"/>
      <c r="E284" s="1975">
        <f>E281/D281-1</f>
        <v>-1</v>
      </c>
      <c r="F284" s="1975"/>
      <c r="G284" s="1975"/>
      <c r="H284" s="1692"/>
    </row>
    <row r="285" spans="3:14" ht="20.100000000000001" customHeight="1" thickBot="1" x14ac:dyDescent="0.25">
      <c r="C285" s="2605" t="s">
        <v>1177</v>
      </c>
      <c r="D285" s="2606"/>
      <c r="E285" s="2606"/>
      <c r="F285" s="2606"/>
      <c r="G285" s="2607"/>
      <c r="H285" s="826"/>
    </row>
    <row r="286" spans="3:14" ht="20.100000000000001" customHeight="1" x14ac:dyDescent="0.2">
      <c r="C286" s="2591"/>
      <c r="D286" s="1728">
        <v>2018</v>
      </c>
      <c r="E286" s="1728">
        <v>2019</v>
      </c>
      <c r="F286" s="1728">
        <v>2020</v>
      </c>
      <c r="G286" s="1728">
        <v>2021</v>
      </c>
      <c r="H286" s="826"/>
    </row>
    <row r="287" spans="3:14" ht="20.100000000000001" customHeight="1" thickBot="1" x14ac:dyDescent="0.25">
      <c r="C287" s="2592"/>
      <c r="D287" s="1748" t="s">
        <v>6</v>
      </c>
      <c r="E287" s="1748" t="s">
        <v>7</v>
      </c>
      <c r="F287" s="1748" t="s">
        <v>7</v>
      </c>
      <c r="G287" s="1748" t="s">
        <v>7</v>
      </c>
      <c r="H287" s="826"/>
    </row>
    <row r="288" spans="3:14" ht="20.100000000000001" customHeight="1" thickBot="1" x14ac:dyDescent="0.25">
      <c r="C288" s="1749" t="s">
        <v>104</v>
      </c>
      <c r="D288" s="1766"/>
      <c r="E288" s="1766"/>
      <c r="F288" s="1766"/>
      <c r="G288" s="1766"/>
      <c r="H288" s="1700"/>
    </row>
    <row r="289" spans="3:13" ht="20.100000000000001" customHeight="1" thickBot="1" x14ac:dyDescent="0.25">
      <c r="C289" s="1749" t="s">
        <v>105</v>
      </c>
      <c r="D289" s="1767">
        <f>D280</f>
        <v>30000</v>
      </c>
      <c r="E289" s="1767">
        <f>E280</f>
        <v>0</v>
      </c>
      <c r="F289" s="1767">
        <f>F280</f>
        <v>0</v>
      </c>
      <c r="G289" s="1767">
        <f>G280</f>
        <v>0</v>
      </c>
      <c r="H289" s="1701"/>
    </row>
    <row r="290" spans="3:13" ht="20.100000000000001" customHeight="1" thickBot="1" x14ac:dyDescent="0.25">
      <c r="C290" s="1751" t="s">
        <v>68</v>
      </c>
      <c r="D290" s="1767">
        <f>D289+D288</f>
        <v>30000</v>
      </c>
      <c r="E290" s="1767">
        <f>E289+E288</f>
        <v>0</v>
      </c>
      <c r="F290" s="1767">
        <f>F289+F288</f>
        <v>0</v>
      </c>
      <c r="G290" s="1767">
        <f>G289+G288</f>
        <v>0</v>
      </c>
      <c r="H290" s="1701"/>
    </row>
    <row r="291" spans="3:13" ht="20.100000000000001" customHeight="1" thickBot="1" x14ac:dyDescent="0.25">
      <c r="C291" s="1752" t="s">
        <v>70</v>
      </c>
      <c r="D291" s="1753">
        <f>D290-D280</f>
        <v>0</v>
      </c>
      <c r="E291" s="1753">
        <f>E290-E280</f>
        <v>0</v>
      </c>
      <c r="F291" s="1753">
        <f>F290-F280</f>
        <v>0</v>
      </c>
      <c r="G291" s="1753">
        <f>G290-G280</f>
        <v>0</v>
      </c>
      <c r="H291" s="1697"/>
    </row>
    <row r="292" spans="3:13" ht="36" customHeight="1" thickBot="1" x14ac:dyDescent="0.25">
      <c r="C292" s="1773" t="s">
        <v>620</v>
      </c>
      <c r="D292" s="2602" t="s">
        <v>712</v>
      </c>
      <c r="E292" s="2603"/>
      <c r="F292" s="2603"/>
      <c r="G292" s="2604"/>
      <c r="H292" s="857"/>
    </row>
    <row r="293" spans="3:13" ht="20.100000000000001" customHeight="1" thickBot="1" x14ac:dyDescent="0.25">
      <c r="C293" s="2602" t="s">
        <v>618</v>
      </c>
      <c r="D293" s="2603"/>
      <c r="E293" s="2603"/>
      <c r="F293" s="2603"/>
      <c r="G293" s="2604"/>
      <c r="H293" s="857"/>
      <c r="K293" s="1686"/>
      <c r="M293" s="1686"/>
    </row>
    <row r="294" spans="3:13" ht="20.100000000000001" customHeight="1" x14ac:dyDescent="0.2">
      <c r="C294" s="1724"/>
      <c r="D294" s="1724">
        <v>2018</v>
      </c>
      <c r="E294" s="1724">
        <v>2019</v>
      </c>
      <c r="F294" s="1724">
        <v>2020</v>
      </c>
      <c r="G294" s="1724">
        <v>2021</v>
      </c>
      <c r="H294" s="857"/>
      <c r="K294" s="1686"/>
      <c r="M294" s="1686"/>
    </row>
    <row r="295" spans="3:13" ht="20.100000000000001" customHeight="1" thickBot="1" x14ac:dyDescent="0.25">
      <c r="C295" s="1719" t="s">
        <v>711</v>
      </c>
      <c r="D295" s="1769">
        <v>95000</v>
      </c>
      <c r="E295" s="1769">
        <v>100000</v>
      </c>
      <c r="F295" s="1769">
        <v>103000</v>
      </c>
      <c r="G295" s="1775">
        <v>103000</v>
      </c>
      <c r="H295" s="1689"/>
    </row>
    <row r="296" spans="3:13" ht="20.100000000000001" customHeight="1" thickBot="1" x14ac:dyDescent="0.25">
      <c r="C296" s="2596" t="s">
        <v>614</v>
      </c>
      <c r="D296" s="2597"/>
      <c r="E296" s="2597"/>
      <c r="F296" s="2597"/>
      <c r="G296" s="2598"/>
      <c r="H296" s="928"/>
    </row>
    <row r="297" spans="3:13" ht="20.100000000000001" customHeight="1" thickBot="1" x14ac:dyDescent="0.25">
      <c r="C297" s="2596" t="s">
        <v>121</v>
      </c>
      <c r="D297" s="2597"/>
      <c r="E297" s="2597"/>
      <c r="F297" s="2597"/>
      <c r="G297" s="2598"/>
      <c r="H297" s="928"/>
    </row>
    <row r="298" spans="3:13" ht="20.100000000000001" customHeight="1" thickBot="1" x14ac:dyDescent="0.25">
      <c r="C298" s="1727" t="s">
        <v>617</v>
      </c>
      <c r="D298" s="2593" t="s">
        <v>710</v>
      </c>
      <c r="E298" s="2594"/>
      <c r="F298" s="2594"/>
      <c r="G298" s="2595"/>
      <c r="H298" s="847"/>
    </row>
    <row r="299" spans="3:13" ht="45.75" customHeight="1" thickBot="1" x14ac:dyDescent="0.25">
      <c r="C299" s="1719" t="s">
        <v>10</v>
      </c>
      <c r="D299" s="2602" t="s">
        <v>709</v>
      </c>
      <c r="E299" s="2603"/>
      <c r="F299" s="2603"/>
      <c r="G299" s="2604"/>
      <c r="H299" s="857"/>
    </row>
    <row r="300" spans="3:13" ht="20.100000000000001" customHeight="1" thickBot="1" x14ac:dyDescent="0.25">
      <c r="C300" s="1719" t="s">
        <v>13</v>
      </c>
      <c r="D300" s="2593" t="s">
        <v>708</v>
      </c>
      <c r="E300" s="2594"/>
      <c r="F300" s="2594"/>
      <c r="G300" s="2595"/>
      <c r="H300" s="847"/>
    </row>
    <row r="301" spans="3:13" ht="20.100000000000001" customHeight="1" x14ac:dyDescent="0.2">
      <c r="C301" s="2591"/>
      <c r="D301" s="1728">
        <v>2018</v>
      </c>
      <c r="E301" s="1728">
        <v>2019</v>
      </c>
      <c r="F301" s="1728">
        <v>2020</v>
      </c>
      <c r="G301" s="1728">
        <v>2021</v>
      </c>
      <c r="H301" s="826"/>
    </row>
    <row r="302" spans="3:13" ht="20.100000000000001" customHeight="1" thickBot="1" x14ac:dyDescent="0.25">
      <c r="C302" s="2592"/>
      <c r="D302" s="1748" t="s">
        <v>6</v>
      </c>
      <c r="E302" s="1748" t="s">
        <v>7</v>
      </c>
      <c r="F302" s="1748" t="s">
        <v>7</v>
      </c>
      <c r="G302" s="1748" t="s">
        <v>7</v>
      </c>
      <c r="H302" s="826"/>
    </row>
    <row r="303" spans="3:13" ht="20.100000000000001" customHeight="1" thickBot="1" x14ac:dyDescent="0.25">
      <c r="C303" s="1719" t="s">
        <v>9</v>
      </c>
      <c r="D303" s="1978">
        <v>95000</v>
      </c>
      <c r="E303" s="1978">
        <v>100000</v>
      </c>
      <c r="F303" s="1978">
        <v>103000</v>
      </c>
      <c r="G303" s="1978">
        <v>103000</v>
      </c>
      <c r="H303" s="1707"/>
    </row>
    <row r="304" spans="3:13" ht="20.100000000000001" customHeight="1" thickBot="1" x14ac:dyDescent="0.25">
      <c r="C304" s="1719" t="s">
        <v>14</v>
      </c>
      <c r="D304" s="1980">
        <v>10000</v>
      </c>
      <c r="E304" s="1980">
        <v>10000</v>
      </c>
      <c r="F304" s="1980">
        <v>10000</v>
      </c>
      <c r="G304" s="1980">
        <v>10000</v>
      </c>
      <c r="H304" s="1708"/>
    </row>
    <row r="305" spans="3:14" ht="20.100000000000001" customHeight="1" thickBot="1" x14ac:dyDescent="0.25">
      <c r="C305" s="1719" t="s">
        <v>23</v>
      </c>
      <c r="D305" s="1973">
        <v>0.11</v>
      </c>
      <c r="E305" s="1973">
        <v>0.1</v>
      </c>
      <c r="F305" s="1973">
        <v>0.1</v>
      </c>
      <c r="G305" s="1979">
        <f>F305+F305*2%</f>
        <v>0.10200000000000001</v>
      </c>
      <c r="H305" s="1691"/>
    </row>
    <row r="306" spans="3:14" ht="20.100000000000001" customHeight="1" thickBot="1" x14ac:dyDescent="0.25">
      <c r="C306" s="1719" t="s">
        <v>15</v>
      </c>
      <c r="D306" s="1974"/>
      <c r="E306" s="1975">
        <f t="shared" ref="E306:G308" si="10">E303/D303-1</f>
        <v>5.2631578947368363E-2</v>
      </c>
      <c r="F306" s="1975">
        <f t="shared" si="10"/>
        <v>3.0000000000000027E-2</v>
      </c>
      <c r="G306" s="1975">
        <f t="shared" si="10"/>
        <v>0</v>
      </c>
      <c r="H306" s="1692"/>
      <c r="J306" s="1693"/>
      <c r="K306" s="1693"/>
      <c r="L306" s="1693"/>
      <c r="M306" s="1693"/>
      <c r="N306" s="1693"/>
    </row>
    <row r="307" spans="3:14" ht="20.100000000000001" customHeight="1" thickBot="1" x14ac:dyDescent="0.25">
      <c r="C307" s="1719" t="s">
        <v>16</v>
      </c>
      <c r="D307" s="1974"/>
      <c r="E307" s="1975">
        <f t="shared" si="10"/>
        <v>0</v>
      </c>
      <c r="F307" s="1975">
        <f t="shared" si="10"/>
        <v>0</v>
      </c>
      <c r="G307" s="1975">
        <f t="shared" si="10"/>
        <v>0</v>
      </c>
      <c r="H307" s="1692"/>
    </row>
    <row r="308" spans="3:14" ht="20.100000000000001" customHeight="1" thickBot="1" x14ac:dyDescent="0.25">
      <c r="C308" s="1719" t="s">
        <v>17</v>
      </c>
      <c r="D308" s="1974"/>
      <c r="E308" s="1975">
        <f t="shared" si="10"/>
        <v>-9.0909090909090828E-2</v>
      </c>
      <c r="F308" s="1975">
        <f t="shared" si="10"/>
        <v>0</v>
      </c>
      <c r="G308" s="1975">
        <f t="shared" si="10"/>
        <v>2.0000000000000018E-2</v>
      </c>
      <c r="H308" s="1692"/>
    </row>
    <row r="309" spans="3:14" ht="20.100000000000001" customHeight="1" thickBot="1" x14ac:dyDescent="0.25">
      <c r="C309" s="1743" t="s">
        <v>1177</v>
      </c>
      <c r="D309" s="1764"/>
      <c r="E309" s="1764"/>
      <c r="F309" s="1764"/>
      <c r="G309" s="1765"/>
      <c r="H309" s="1694"/>
    </row>
    <row r="310" spans="3:14" ht="20.100000000000001" customHeight="1" x14ac:dyDescent="0.2">
      <c r="C310" s="1746"/>
      <c r="D310" s="1728">
        <v>2018</v>
      </c>
      <c r="E310" s="1728">
        <v>2019</v>
      </c>
      <c r="F310" s="1728">
        <v>2020</v>
      </c>
      <c r="G310" s="1728">
        <v>2021</v>
      </c>
      <c r="H310" s="826"/>
    </row>
    <row r="311" spans="3:14" ht="20.100000000000001" customHeight="1" thickBot="1" x14ac:dyDescent="0.25">
      <c r="C311" s="1747"/>
      <c r="D311" s="1748" t="s">
        <v>6</v>
      </c>
      <c r="E311" s="1748" t="s">
        <v>7</v>
      </c>
      <c r="F311" s="1748" t="s">
        <v>7</v>
      </c>
      <c r="G311" s="1748" t="s">
        <v>7</v>
      </c>
      <c r="H311" s="826"/>
    </row>
    <row r="312" spans="3:14" ht="20.100000000000001" customHeight="1" thickBot="1" x14ac:dyDescent="0.25">
      <c r="C312" s="1749" t="s">
        <v>104</v>
      </c>
      <c r="D312" s="1766"/>
      <c r="E312" s="1766"/>
      <c r="F312" s="1766"/>
      <c r="G312" s="1766"/>
      <c r="H312" s="1700"/>
    </row>
    <row r="313" spans="3:14" ht="20.100000000000001" customHeight="1" thickBot="1" x14ac:dyDescent="0.25">
      <c r="C313" s="1749" t="s">
        <v>105</v>
      </c>
      <c r="D313" s="1767">
        <f>D304</f>
        <v>10000</v>
      </c>
      <c r="E313" s="1767">
        <f>E304</f>
        <v>10000</v>
      </c>
      <c r="F313" s="1767">
        <f>F304</f>
        <v>10000</v>
      </c>
      <c r="G313" s="1767">
        <f>G304</f>
        <v>10000</v>
      </c>
      <c r="H313" s="1701"/>
    </row>
    <row r="314" spans="3:14" ht="20.100000000000001" customHeight="1" thickBot="1" x14ac:dyDescent="0.25">
      <c r="C314" s="1751" t="s">
        <v>68</v>
      </c>
      <c r="D314" s="1767">
        <f>D313+D312</f>
        <v>10000</v>
      </c>
      <c r="E314" s="1767">
        <f>E313+E312</f>
        <v>10000</v>
      </c>
      <c r="F314" s="1767">
        <f>F313+F312</f>
        <v>10000</v>
      </c>
      <c r="G314" s="1767">
        <f>G313+G312</f>
        <v>10000</v>
      </c>
      <c r="H314" s="1701"/>
    </row>
    <row r="315" spans="3:14" ht="20.100000000000001" customHeight="1" thickBot="1" x14ac:dyDescent="0.25">
      <c r="C315" s="1752" t="s">
        <v>70</v>
      </c>
      <c r="D315" s="1753">
        <f>D314-D304</f>
        <v>0</v>
      </c>
      <c r="E315" s="1753">
        <f>E314-E304</f>
        <v>0</v>
      </c>
      <c r="F315" s="1753">
        <f>F314-F304</f>
        <v>0</v>
      </c>
      <c r="G315" s="1753">
        <f>G314-G304</f>
        <v>0</v>
      </c>
      <c r="H315" s="1697"/>
    </row>
    <row r="316" spans="3:14" ht="20.100000000000001" customHeight="1" thickBot="1" x14ac:dyDescent="0.25">
      <c r="C316" s="2605" t="s">
        <v>1186</v>
      </c>
      <c r="D316" s="2606"/>
      <c r="E316" s="2606"/>
      <c r="F316" s="2606"/>
      <c r="G316" s="2607"/>
      <c r="H316" s="826"/>
    </row>
    <row r="317" spans="3:14" ht="20.100000000000001" customHeight="1" x14ac:dyDescent="0.2">
      <c r="C317" s="2591"/>
      <c r="D317" s="1728">
        <v>2018</v>
      </c>
      <c r="E317" s="1728">
        <v>2019</v>
      </c>
      <c r="F317" s="1728">
        <v>2020</v>
      </c>
      <c r="G317" s="1728">
        <v>2021</v>
      </c>
      <c r="H317" s="826"/>
    </row>
    <row r="318" spans="3:14" ht="20.100000000000001" customHeight="1" thickBot="1" x14ac:dyDescent="0.25">
      <c r="C318" s="2592"/>
      <c r="D318" s="1748" t="s">
        <v>6</v>
      </c>
      <c r="E318" s="1748" t="s">
        <v>7</v>
      </c>
      <c r="F318" s="1748" t="s">
        <v>7</v>
      </c>
      <c r="G318" s="1748" t="s">
        <v>7</v>
      </c>
      <c r="H318" s="826"/>
    </row>
    <row r="319" spans="3:14" ht="49.5" customHeight="1" thickBot="1" x14ac:dyDescent="0.25">
      <c r="C319" s="1723" t="s">
        <v>116</v>
      </c>
      <c r="D319" s="1776">
        <f>D33+D63+D86+D109+D132+D164+D195+D213+D231+D256+D280+D304</f>
        <v>7094731.7599999998</v>
      </c>
      <c r="E319" s="1776">
        <f t="shared" ref="E319:G319" si="11">E33+E63+E86+E109+E132+E164+E195+E213+E231+E256+E280+E304</f>
        <v>7489043</v>
      </c>
      <c r="F319" s="1776">
        <f t="shared" si="11"/>
        <v>7662000</v>
      </c>
      <c r="G319" s="1776">
        <f t="shared" si="11"/>
        <v>7462000</v>
      </c>
      <c r="H319" s="1697"/>
    </row>
    <row r="320" spans="3:14" ht="49.5" customHeight="1" thickBot="1" x14ac:dyDescent="0.25">
      <c r="C320" s="1723" t="s">
        <v>117</v>
      </c>
      <c r="D320" s="1776">
        <f>D322+D324+D326+D328+D330+D332+D334+D336+D338</f>
        <v>7094731.7599999998</v>
      </c>
      <c r="E320" s="1776">
        <f t="shared" ref="E320:G320" si="12">E322+E324+E326+E328+E330+E332+E334+E336+E338</f>
        <v>7489043</v>
      </c>
      <c r="F320" s="1776">
        <f t="shared" si="12"/>
        <v>7662000</v>
      </c>
      <c r="G320" s="1776">
        <f t="shared" si="12"/>
        <v>7462000</v>
      </c>
      <c r="H320" s="1697"/>
    </row>
    <row r="321" spans="3:9" ht="32.25" customHeight="1" thickBot="1" x14ac:dyDescent="0.25">
      <c r="C321" s="1777" t="s">
        <v>24</v>
      </c>
      <c r="D321" s="1778"/>
      <c r="E321" s="1779">
        <f>E320/D320-1</f>
        <v>5.5578033580229391E-2</v>
      </c>
      <c r="F321" s="1779">
        <f>F320/E320-1</f>
        <v>2.3094673111103692E-2</v>
      </c>
      <c r="G321" s="1779">
        <f>G320/F320-1</f>
        <v>-2.6102845210127956E-2</v>
      </c>
      <c r="H321" s="1709"/>
    </row>
    <row r="322" spans="3:9" ht="20.100000000000001" customHeight="1" thickBot="1" x14ac:dyDescent="0.25">
      <c r="C322" s="1749" t="s">
        <v>0</v>
      </c>
      <c r="D322" s="1766">
        <f>D41+D71+D94+D117+D140+D172</f>
        <v>4986850</v>
      </c>
      <c r="E322" s="1766">
        <f>E41+E71+E94+E117+E140+E172</f>
        <v>5077529</v>
      </c>
      <c r="F322" s="1766">
        <f>F41+F71+F94+F117+F140+F172</f>
        <v>5186850</v>
      </c>
      <c r="G322" s="1766">
        <f>G41+G71+G94+G117+G140+G172</f>
        <v>5186850</v>
      </c>
      <c r="H322" s="1700"/>
    </row>
    <row r="323" spans="3:9" ht="20.100000000000001" customHeight="1" thickBot="1" x14ac:dyDescent="0.25">
      <c r="C323" s="1780" t="s">
        <v>25</v>
      </c>
      <c r="D323" s="1766"/>
      <c r="E323" s="1766"/>
      <c r="F323" s="1766"/>
      <c r="G323" s="1766"/>
      <c r="H323" s="1700"/>
    </row>
    <row r="324" spans="3:9" ht="42.75" customHeight="1" thickBot="1" x14ac:dyDescent="0.25">
      <c r="C324" s="1749" t="s">
        <v>49</v>
      </c>
      <c r="D324" s="1766">
        <f>D42+D72+D95+D118+D141+D173</f>
        <v>862667</v>
      </c>
      <c r="E324" s="1766">
        <f>E42+E72+E95+E118+E141+E173</f>
        <v>862667</v>
      </c>
      <c r="F324" s="1766">
        <f>F42+F72+F95+F118+F141+F173</f>
        <v>891253</v>
      </c>
      <c r="G324" s="1766">
        <f>G42+G72+G95+G118+G141+G173</f>
        <v>891253</v>
      </c>
      <c r="H324" s="1700"/>
    </row>
    <row r="325" spans="3:9" ht="34.5" customHeight="1" thickBot="1" x14ac:dyDescent="0.25">
      <c r="C325" s="1780" t="s">
        <v>50</v>
      </c>
      <c r="D325" s="1767"/>
      <c r="E325" s="1781">
        <f>E324/D324-1</f>
        <v>0</v>
      </c>
      <c r="F325" s="1781">
        <f>F324/E324-1</f>
        <v>3.3136772358279609E-2</v>
      </c>
      <c r="G325" s="1781">
        <f>G324/F324-1</f>
        <v>0</v>
      </c>
      <c r="H325" s="1710"/>
    </row>
    <row r="326" spans="3:9" ht="20.100000000000001" customHeight="1" thickBot="1" x14ac:dyDescent="0.25">
      <c r="C326" s="1749" t="s">
        <v>1</v>
      </c>
      <c r="D326" s="1766">
        <f>D43+D73+D96+D119+D142+D174</f>
        <v>153100</v>
      </c>
      <c r="E326" s="1766">
        <f>E43+E73+E96+E119+E142+E174</f>
        <v>214847</v>
      </c>
      <c r="F326" s="1766">
        <f>F43+F73+F96+F119+F142+F174</f>
        <v>247897</v>
      </c>
      <c r="G326" s="1766">
        <f>G43+G73+G96+G119+G142+G174</f>
        <v>245897</v>
      </c>
      <c r="H326" s="1700"/>
    </row>
    <row r="327" spans="3:9" ht="33" customHeight="1" thickBot="1" x14ac:dyDescent="0.25">
      <c r="C327" s="1780" t="s">
        <v>26</v>
      </c>
      <c r="D327" s="1767"/>
      <c r="E327" s="1781">
        <f>E326/D326-1</f>
        <v>0.40331156107119526</v>
      </c>
      <c r="F327" s="1781">
        <f>F326/E326-1</f>
        <v>0.15383040023830907</v>
      </c>
      <c r="G327" s="1781">
        <f>G326/F326-1</f>
        <v>-8.0678668963319877E-3</v>
      </c>
      <c r="H327" s="1710"/>
    </row>
    <row r="328" spans="3:9" ht="20.100000000000001" customHeight="1" thickBot="1" x14ac:dyDescent="0.25">
      <c r="C328" s="1749" t="s">
        <v>2</v>
      </c>
      <c r="D328" s="1766">
        <v>0</v>
      </c>
      <c r="E328" s="1766">
        <v>0</v>
      </c>
      <c r="F328" s="1766">
        <v>0</v>
      </c>
      <c r="G328" s="1766">
        <v>0</v>
      </c>
      <c r="H328" s="1700"/>
    </row>
    <row r="329" spans="3:9" ht="30" customHeight="1" thickBot="1" x14ac:dyDescent="0.25">
      <c r="C329" s="1780" t="s">
        <v>27</v>
      </c>
      <c r="D329" s="1767"/>
      <c r="E329" s="1767"/>
      <c r="F329" s="1767"/>
      <c r="G329" s="1767"/>
      <c r="H329" s="1701"/>
    </row>
    <row r="330" spans="3:9" ht="20.100000000000001" customHeight="1" thickBot="1" x14ac:dyDescent="0.25">
      <c r="C330" s="1749" t="s">
        <v>28</v>
      </c>
      <c r="D330" s="1766">
        <v>0</v>
      </c>
      <c r="E330" s="1766">
        <v>0</v>
      </c>
      <c r="F330" s="1766">
        <v>0</v>
      </c>
      <c r="G330" s="1766">
        <v>0</v>
      </c>
      <c r="H330" s="1700"/>
    </row>
    <row r="331" spans="3:9" ht="34.5" customHeight="1" thickBot="1" x14ac:dyDescent="0.25">
      <c r="C331" s="1780" t="s">
        <v>29</v>
      </c>
      <c r="D331" s="1767"/>
      <c r="E331" s="1767"/>
      <c r="F331" s="1767"/>
      <c r="G331" s="1767"/>
      <c r="H331" s="1701"/>
      <c r="I331" s="1711"/>
    </row>
    <row r="332" spans="3:9" ht="20.100000000000001" customHeight="1" thickBot="1" x14ac:dyDescent="0.25">
      <c r="C332" s="1749" t="s">
        <v>30</v>
      </c>
      <c r="D332" s="1766">
        <v>0</v>
      </c>
      <c r="E332" s="1766">
        <v>0</v>
      </c>
      <c r="F332" s="1766">
        <v>0</v>
      </c>
      <c r="G332" s="1766">
        <v>0</v>
      </c>
      <c r="H332" s="1700"/>
      <c r="I332" s="1711"/>
    </row>
    <row r="333" spans="3:9" ht="42" customHeight="1" thickBot="1" x14ac:dyDescent="0.25">
      <c r="C333" s="1780" t="s">
        <v>31</v>
      </c>
      <c r="D333" s="1767"/>
      <c r="E333" s="1767"/>
      <c r="F333" s="1767"/>
      <c r="G333" s="1767"/>
      <c r="H333" s="1701"/>
      <c r="I333" s="1712"/>
    </row>
    <row r="334" spans="3:9" ht="28.5" customHeight="1" thickBot="1" x14ac:dyDescent="0.25">
      <c r="C334" s="1749" t="s">
        <v>3</v>
      </c>
      <c r="D334" s="1766">
        <f>D123</f>
        <v>70000</v>
      </c>
      <c r="E334" s="1766">
        <f>E123</f>
        <v>72000</v>
      </c>
      <c r="F334" s="1766">
        <f>F123</f>
        <v>74000</v>
      </c>
      <c r="G334" s="1766">
        <f>G123</f>
        <v>76000</v>
      </c>
      <c r="H334" s="1700"/>
    </row>
    <row r="335" spans="3:9" ht="34.5" customHeight="1" thickBot="1" x14ac:dyDescent="0.25">
      <c r="C335" s="1780" t="s">
        <v>32</v>
      </c>
      <c r="D335" s="1767"/>
      <c r="E335" s="1781">
        <f>E334/D334-1</f>
        <v>2.857142857142847E-2</v>
      </c>
      <c r="F335" s="1781">
        <f>F334/E334-1</f>
        <v>2.7777777777777679E-2</v>
      </c>
      <c r="G335" s="1781">
        <f>G334/F334-1</f>
        <v>2.7027027027026973E-2</v>
      </c>
      <c r="H335" s="1710"/>
    </row>
    <row r="336" spans="3:9" ht="20.100000000000001" customHeight="1" thickBot="1" x14ac:dyDescent="0.25">
      <c r="C336" s="1749" t="s">
        <v>18</v>
      </c>
      <c r="D336" s="1766">
        <f>D203+D221+D239+D264+D288+D312</f>
        <v>0</v>
      </c>
      <c r="E336" s="1766">
        <f>E203+E221+E239+E264+E288+E312</f>
        <v>0</v>
      </c>
      <c r="F336" s="1766">
        <f>F203+F221+F239+F264+F288+F312</f>
        <v>0</v>
      </c>
      <c r="G336" s="1766">
        <f>G203+G221+G239+G264+G288+G312</f>
        <v>0</v>
      </c>
      <c r="H336" s="1700"/>
    </row>
    <row r="337" spans="3:8" ht="33" customHeight="1" thickBot="1" x14ac:dyDescent="0.25">
      <c r="C337" s="1780" t="s">
        <v>33</v>
      </c>
      <c r="D337" s="1767"/>
      <c r="E337" s="1781">
        <v>0</v>
      </c>
      <c r="F337" s="1781">
        <v>0</v>
      </c>
      <c r="G337" s="1781">
        <v>0</v>
      </c>
      <c r="H337" s="1710"/>
    </row>
    <row r="338" spans="3:8" ht="20.100000000000001" customHeight="1" thickBot="1" x14ac:dyDescent="0.25">
      <c r="C338" s="1749" t="s">
        <v>19</v>
      </c>
      <c r="D338" s="1753">
        <f>D204+D222+D240+D265+D289+D313</f>
        <v>1022114.76</v>
      </c>
      <c r="E338" s="1753">
        <f>E204+E222+E240+E265+E289+E313</f>
        <v>1262000</v>
      </c>
      <c r="F338" s="1753">
        <f>F204+F222+F240+F265+F289+F313</f>
        <v>1262000</v>
      </c>
      <c r="G338" s="1753">
        <f>G204+G222+G240+G265+G289+G313</f>
        <v>1062000</v>
      </c>
      <c r="H338" s="1697"/>
    </row>
    <row r="339" spans="3:8" ht="36.75" customHeight="1" thickBot="1" x14ac:dyDescent="0.25">
      <c r="C339" s="1780" t="s">
        <v>34</v>
      </c>
      <c r="D339" s="1767"/>
      <c r="E339" s="1781">
        <f>E338/D338-1</f>
        <v>0.23469501604692611</v>
      </c>
      <c r="F339" s="1781">
        <f>F338/E338-1</f>
        <v>0</v>
      </c>
      <c r="G339" s="1781">
        <f>G338/F338-1</f>
        <v>-0.15847860538827263</v>
      </c>
      <c r="H339" s="1710"/>
    </row>
    <row r="340" spans="3:8" ht="20.100000000000001" customHeight="1" thickBot="1" x14ac:dyDescent="0.25">
      <c r="C340" s="1752" t="s">
        <v>70</v>
      </c>
      <c r="D340" s="1753">
        <f>D319-D320</f>
        <v>0</v>
      </c>
      <c r="E340" s="1753">
        <f t="shared" ref="E340:G340" si="13">E319-E320</f>
        <v>0</v>
      </c>
      <c r="F340" s="1753">
        <f t="shared" si="13"/>
        <v>0</v>
      </c>
      <c r="G340" s="1753">
        <f t="shared" si="13"/>
        <v>0</v>
      </c>
      <c r="H340" s="1697"/>
    </row>
    <row r="341" spans="3:8" ht="45" customHeight="1" thickBot="1" x14ac:dyDescent="0.25">
      <c r="C341" s="1782" t="s">
        <v>55</v>
      </c>
      <c r="D341" s="1767">
        <v>6548</v>
      </c>
      <c r="E341" s="1767">
        <v>6548</v>
      </c>
      <c r="F341" s="1767">
        <v>6548</v>
      </c>
      <c r="G341" s="1767">
        <v>6548</v>
      </c>
      <c r="H341" s="1701"/>
    </row>
    <row r="342" spans="3:8" ht="71.25" customHeight="1" thickBot="1" x14ac:dyDescent="0.25">
      <c r="C342" s="1782" t="s">
        <v>705</v>
      </c>
      <c r="D342" s="1767">
        <v>300</v>
      </c>
      <c r="E342" s="1767">
        <v>300</v>
      </c>
      <c r="F342" s="1767">
        <v>300</v>
      </c>
      <c r="G342" s="1767">
        <v>300</v>
      </c>
      <c r="H342" s="1701"/>
    </row>
  </sheetData>
  <mergeCells count="98">
    <mergeCell ref="C2:G2"/>
    <mergeCell ref="D50:G50"/>
    <mergeCell ref="C51:G51"/>
    <mergeCell ref="D149:G149"/>
    <mergeCell ref="C201:C202"/>
    <mergeCell ref="D181:G181"/>
    <mergeCell ref="C182:G182"/>
    <mergeCell ref="D189:G189"/>
    <mergeCell ref="C200:G200"/>
    <mergeCell ref="C8:G9"/>
    <mergeCell ref="D10:G10"/>
    <mergeCell ref="C11:C12"/>
    <mergeCell ref="D16:G16"/>
    <mergeCell ref="C17:G17"/>
    <mergeCell ref="C25:G25"/>
    <mergeCell ref="C26:G26"/>
    <mergeCell ref="D4:G4"/>
    <mergeCell ref="D5:G5"/>
    <mergeCell ref="D6:G6"/>
    <mergeCell ref="D58:G58"/>
    <mergeCell ref="D59:G59"/>
    <mergeCell ref="C7:G7"/>
    <mergeCell ref="D57:G57"/>
    <mergeCell ref="C253:C254"/>
    <mergeCell ref="C248:G248"/>
    <mergeCell ref="C249:G249"/>
    <mergeCell ref="C244:G244"/>
    <mergeCell ref="D252:G252"/>
    <mergeCell ref="D250:G250"/>
    <mergeCell ref="D251:G251"/>
    <mergeCell ref="D225:G225"/>
    <mergeCell ref="D226:G226"/>
    <mergeCell ref="D227:G227"/>
    <mergeCell ref="C228:C229"/>
    <mergeCell ref="D243:G243"/>
    <mergeCell ref="C237:C238"/>
    <mergeCell ref="C236:G236"/>
    <mergeCell ref="D105:G105"/>
    <mergeCell ref="D190:G190"/>
    <mergeCell ref="D191:G191"/>
    <mergeCell ref="D128:G128"/>
    <mergeCell ref="D126:G126"/>
    <mergeCell ref="C169:G169"/>
    <mergeCell ref="C170:C171"/>
    <mergeCell ref="C150:G150"/>
    <mergeCell ref="D160:G160"/>
    <mergeCell ref="D127:G127"/>
    <mergeCell ref="C129:C130"/>
    <mergeCell ref="C187:G187"/>
    <mergeCell ref="C188:G188"/>
    <mergeCell ref="C157:G157"/>
    <mergeCell ref="D158:G158"/>
    <mergeCell ref="D159:G159"/>
    <mergeCell ref="C218:G218"/>
    <mergeCell ref="C161:C162"/>
    <mergeCell ref="D209:G209"/>
    <mergeCell ref="C210:C211"/>
    <mergeCell ref="C192:C193"/>
    <mergeCell ref="D207:G207"/>
    <mergeCell ref="D208:G208"/>
    <mergeCell ref="C219:C220"/>
    <mergeCell ref="D27:G27"/>
    <mergeCell ref="D28:G28"/>
    <mergeCell ref="D29:G29"/>
    <mergeCell ref="C30:C31"/>
    <mergeCell ref="D103:G103"/>
    <mergeCell ref="D82:G82"/>
    <mergeCell ref="C83:C84"/>
    <mergeCell ref="C55:G55"/>
    <mergeCell ref="C56:G56"/>
    <mergeCell ref="C60:C61"/>
    <mergeCell ref="D80:G80"/>
    <mergeCell ref="D81:G81"/>
    <mergeCell ref="C106:C107"/>
    <mergeCell ref="D104:G104"/>
    <mergeCell ref="C156:G156"/>
    <mergeCell ref="C261:G261"/>
    <mergeCell ref="C262:C263"/>
    <mergeCell ref="D299:G299"/>
    <mergeCell ref="D300:G300"/>
    <mergeCell ref="C297:G297"/>
    <mergeCell ref="C296:G296"/>
    <mergeCell ref="C317:C318"/>
    <mergeCell ref="D276:G276"/>
    <mergeCell ref="C272:G272"/>
    <mergeCell ref="C273:G273"/>
    <mergeCell ref="D268:G268"/>
    <mergeCell ref="D274:G274"/>
    <mergeCell ref="D275:G275"/>
    <mergeCell ref="C269:G269"/>
    <mergeCell ref="D298:G298"/>
    <mergeCell ref="C293:G293"/>
    <mergeCell ref="D292:G292"/>
    <mergeCell ref="C277:C278"/>
    <mergeCell ref="C285:G285"/>
    <mergeCell ref="C286:C287"/>
    <mergeCell ref="C316:G316"/>
    <mergeCell ref="C301:C302"/>
  </mergeCells>
  <printOptions horizontalCentered="1" verticalCentered="1"/>
  <pageMargins left="7.874015748031496E-2" right="7.874015748031496E-2" top="0.39370078740157483" bottom="0.39370078740157483" header="0.31496062992125984" footer="0.31496062992125984"/>
  <pageSetup scale="81" orientation="portrait" r:id="rId1"/>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N195"/>
  <sheetViews>
    <sheetView topLeftCell="C166" zoomScale="107" zoomScaleNormal="107" workbookViewId="0">
      <selection activeCell="E107" sqref="E107"/>
    </sheetView>
  </sheetViews>
  <sheetFormatPr defaultColWidth="8.85546875" defaultRowHeight="13.15" customHeight="1" x14ac:dyDescent="0.2"/>
  <cols>
    <col min="1" max="1" width="7" style="774" customWidth="1"/>
    <col min="2" max="2" width="6" style="774" customWidth="1"/>
    <col min="3" max="3" width="46" style="774" customWidth="1"/>
    <col min="4" max="4" width="17.42578125" style="774" customWidth="1"/>
    <col min="5" max="5" width="14.85546875" style="774" customWidth="1"/>
    <col min="6" max="6" width="18.28515625" style="774" customWidth="1"/>
    <col min="7" max="7" width="22.7109375" style="774" customWidth="1"/>
    <col min="8" max="8" width="11.140625" style="774" customWidth="1"/>
    <col min="9" max="9" width="14.85546875" style="774" customWidth="1"/>
    <col min="10" max="10" width="11.140625" style="774" customWidth="1"/>
    <col min="11" max="11" width="11" style="774" customWidth="1"/>
    <col min="12" max="12" width="11" style="774" bestFit="1" customWidth="1"/>
    <col min="13" max="16384" width="8.85546875" style="774"/>
  </cols>
  <sheetData>
    <row r="2" spans="2:13" ht="13.15" customHeight="1" x14ac:dyDescent="0.2">
      <c r="C2" s="2515" t="s">
        <v>128</v>
      </c>
      <c r="D2" s="2515"/>
      <c r="E2" s="2515"/>
      <c r="F2" s="2515"/>
      <c r="G2" s="2515"/>
      <c r="H2" s="1149"/>
      <c r="I2" s="929"/>
    </row>
    <row r="3" spans="2:13" ht="13.15" customHeight="1" x14ac:dyDescent="0.2">
      <c r="B3" s="1149"/>
      <c r="C3" s="2516" t="s">
        <v>127</v>
      </c>
      <c r="D3" s="2516"/>
      <c r="E3" s="2516"/>
      <c r="F3" s="2516"/>
      <c r="G3" s="2516"/>
      <c r="H3" s="1150"/>
      <c r="I3" s="1149"/>
    </row>
    <row r="4" spans="2:13" ht="13.15" customHeight="1" thickBot="1" x14ac:dyDescent="0.25"/>
    <row r="5" spans="2:13" ht="13.15" customHeight="1" thickBot="1" x14ac:dyDescent="0.25">
      <c r="C5" s="926" t="s">
        <v>20</v>
      </c>
      <c r="D5" s="2517" t="s">
        <v>778</v>
      </c>
      <c r="E5" s="2517"/>
      <c r="F5" s="2517"/>
      <c r="G5" s="2517"/>
      <c r="H5" s="928"/>
    </row>
    <row r="6" spans="2:13" ht="13.15" customHeight="1" thickBot="1" x14ac:dyDescent="0.25">
      <c r="C6" s="926" t="s">
        <v>4</v>
      </c>
      <c r="D6" s="2518" t="s">
        <v>367</v>
      </c>
      <c r="E6" s="2519"/>
      <c r="F6" s="2519"/>
      <c r="G6" s="2520"/>
      <c r="H6" s="927"/>
    </row>
    <row r="7" spans="2:13" ht="13.15" customHeight="1" thickBot="1" x14ac:dyDescent="0.25">
      <c r="C7" s="926" t="s">
        <v>35</v>
      </c>
      <c r="D7" s="2521" t="s">
        <v>5</v>
      </c>
      <c r="E7" s="2522"/>
      <c r="F7" s="2522"/>
      <c r="G7" s="2523"/>
      <c r="H7" s="826"/>
    </row>
    <row r="8" spans="2:13" s="869" customFormat="1" ht="33" customHeight="1" thickBot="1" x14ac:dyDescent="0.25">
      <c r="C8" s="860" t="s">
        <v>12</v>
      </c>
      <c r="D8" s="2530" t="s">
        <v>774</v>
      </c>
      <c r="E8" s="2531"/>
      <c r="F8" s="2531"/>
      <c r="G8" s="2532"/>
      <c r="H8" s="848"/>
    </row>
    <row r="9" spans="2:13" ht="13.15" customHeight="1" thickBot="1" x14ac:dyDescent="0.25">
      <c r="C9" s="2543" t="s">
        <v>120</v>
      </c>
      <c r="D9" s="2544"/>
      <c r="E9" s="2544"/>
      <c r="F9" s="2544"/>
      <c r="G9" s="2545"/>
      <c r="H9" s="857"/>
      <c r="K9" s="856"/>
      <c r="M9" s="856"/>
    </row>
    <row r="10" spans="2:13" ht="13.15" customHeight="1" x14ac:dyDescent="0.2">
      <c r="C10" s="1483"/>
      <c r="D10" s="1483">
        <v>2018</v>
      </c>
      <c r="E10" s="1483">
        <v>2019</v>
      </c>
      <c r="F10" s="1483">
        <v>2020</v>
      </c>
      <c r="G10" s="1483">
        <v>2021</v>
      </c>
      <c r="H10" s="857"/>
      <c r="K10" s="856"/>
      <c r="M10" s="856"/>
    </row>
    <row r="11" spans="2:13" ht="16.899999999999999" customHeight="1" thickBot="1" x14ac:dyDescent="0.25">
      <c r="C11" s="1477" t="s">
        <v>773</v>
      </c>
      <c r="D11" s="1484">
        <v>0.95799999999999996</v>
      </c>
      <c r="E11" s="1484">
        <v>0.96</v>
      </c>
      <c r="F11" s="1484">
        <v>0.97</v>
      </c>
      <c r="G11" s="1484">
        <v>0.98</v>
      </c>
      <c r="H11" s="879"/>
    </row>
    <row r="12" spans="2:13" ht="14.45" customHeight="1" thickBot="1" x14ac:dyDescent="0.25">
      <c r="C12" s="1479" t="s">
        <v>772</v>
      </c>
      <c r="D12" s="1485">
        <v>120062</v>
      </c>
      <c r="E12" s="1485">
        <v>122000</v>
      </c>
      <c r="F12" s="1485">
        <v>123500</v>
      </c>
      <c r="G12" s="1485">
        <v>125000</v>
      </c>
      <c r="H12" s="918"/>
    </row>
    <row r="13" spans="2:13" ht="18.600000000000001" customHeight="1" thickBot="1" x14ac:dyDescent="0.25">
      <c r="C13" s="1479" t="s">
        <v>771</v>
      </c>
      <c r="D13" s="1484">
        <v>0.82799999999999996</v>
      </c>
      <c r="E13" s="1484">
        <v>0.75</v>
      </c>
      <c r="F13" s="1484">
        <v>0.7</v>
      </c>
      <c r="G13" s="1484">
        <v>0.65</v>
      </c>
      <c r="H13" s="879"/>
    </row>
    <row r="14" spans="2:13" ht="18.600000000000001" customHeight="1" thickBot="1" x14ac:dyDescent="0.25">
      <c r="C14" s="1489" t="s">
        <v>1044</v>
      </c>
      <c r="D14" s="1490">
        <f>D15/D16</f>
        <v>15.786825396825396</v>
      </c>
      <c r="E14" s="1490">
        <f t="shared" ref="E14:G14" si="0">E15/E16</f>
        <v>14.523809523809524</v>
      </c>
      <c r="F14" s="1490">
        <f t="shared" si="0"/>
        <v>13.722222222222221</v>
      </c>
      <c r="G14" s="1490">
        <f t="shared" si="0"/>
        <v>12.896825396825397</v>
      </c>
      <c r="H14" s="879"/>
    </row>
    <row r="15" spans="2:13" ht="14.45" customHeight="1" thickBot="1" x14ac:dyDescent="0.25">
      <c r="C15" s="1479" t="s">
        <v>770</v>
      </c>
      <c r="D15" s="1485">
        <v>99457</v>
      </c>
      <c r="E15" s="1485">
        <f>E12*E13</f>
        <v>91500</v>
      </c>
      <c r="F15" s="1485">
        <f>F12*F13</f>
        <v>86450</v>
      </c>
      <c r="G15" s="1485">
        <f>G12*G13</f>
        <v>81250</v>
      </c>
      <c r="H15" s="918"/>
    </row>
    <row r="16" spans="2:13" ht="14.45" customHeight="1" thickBot="1" x14ac:dyDescent="0.25">
      <c r="C16" s="1489" t="s">
        <v>775</v>
      </c>
      <c r="D16" s="1492">
        <v>6300</v>
      </c>
      <c r="E16" s="1492">
        <v>6300</v>
      </c>
      <c r="F16" s="1492">
        <v>6300</v>
      </c>
      <c r="G16" s="1492">
        <v>6300</v>
      </c>
      <c r="H16" s="918"/>
    </row>
    <row r="17" spans="3:14" ht="26.25" customHeight="1" thickBot="1" x14ac:dyDescent="0.25">
      <c r="C17" s="1479" t="s">
        <v>769</v>
      </c>
      <c r="D17" s="1484">
        <v>0.17199999999999999</v>
      </c>
      <c r="E17" s="1484">
        <v>0.22</v>
      </c>
      <c r="F17" s="1484">
        <v>0.3</v>
      </c>
      <c r="G17" s="1484">
        <v>0.35</v>
      </c>
      <c r="H17" s="879"/>
    </row>
    <row r="18" spans="3:14" ht="17.45" customHeight="1" thickBot="1" x14ac:dyDescent="0.25">
      <c r="C18" s="1479" t="s">
        <v>768</v>
      </c>
      <c r="D18" s="895">
        <v>20605</v>
      </c>
      <c r="E18" s="895">
        <f>E12-E15</f>
        <v>30500</v>
      </c>
      <c r="F18" s="895">
        <f>F12-F15</f>
        <v>37050</v>
      </c>
      <c r="G18" s="895">
        <f>G12-G15</f>
        <v>43750</v>
      </c>
      <c r="H18" s="898"/>
    </row>
    <row r="19" spans="3:14" ht="13.15" customHeight="1" thickBot="1" x14ac:dyDescent="0.25">
      <c r="C19" s="2527" t="s">
        <v>66</v>
      </c>
      <c r="D19" s="2528"/>
      <c r="E19" s="2528"/>
      <c r="F19" s="2528"/>
      <c r="G19" s="2529"/>
      <c r="H19" s="851"/>
    </row>
    <row r="20" spans="3:14" ht="13.15" customHeight="1" thickBot="1" x14ac:dyDescent="0.25">
      <c r="C20" s="2527" t="s">
        <v>121</v>
      </c>
      <c r="D20" s="2528"/>
      <c r="E20" s="2528"/>
      <c r="F20" s="2528"/>
      <c r="G20" s="2529"/>
      <c r="H20" s="851"/>
    </row>
    <row r="21" spans="3:14" ht="16.899999999999999" customHeight="1" thickBot="1" x14ac:dyDescent="0.25">
      <c r="C21" s="850" t="s">
        <v>680</v>
      </c>
      <c r="D21" s="2530" t="s">
        <v>767</v>
      </c>
      <c r="E21" s="2531"/>
      <c r="F21" s="2531"/>
      <c r="G21" s="2532"/>
      <c r="H21" s="848"/>
    </row>
    <row r="22" spans="3:14" ht="19.149999999999999" customHeight="1" thickBot="1" x14ac:dyDescent="0.25">
      <c r="C22" s="838" t="s">
        <v>10</v>
      </c>
      <c r="D22" s="2530" t="s">
        <v>767</v>
      </c>
      <c r="E22" s="2531"/>
      <c r="F22" s="2531"/>
      <c r="G22" s="2532"/>
      <c r="H22" s="848"/>
    </row>
    <row r="23" spans="3:14" ht="13.15" customHeight="1" thickBot="1" x14ac:dyDescent="0.25">
      <c r="C23" s="838" t="s">
        <v>13</v>
      </c>
      <c r="D23" s="2533" t="s">
        <v>766</v>
      </c>
      <c r="E23" s="2534"/>
      <c r="F23" s="2534"/>
      <c r="G23" s="2535"/>
      <c r="H23" s="847"/>
    </row>
    <row r="24" spans="3:14" ht="13.15" customHeight="1" x14ac:dyDescent="0.2">
      <c r="C24" s="2536"/>
      <c r="D24" s="828">
        <v>2018</v>
      </c>
      <c r="E24" s="828">
        <v>2019</v>
      </c>
      <c r="F24" s="828">
        <v>2020</v>
      </c>
      <c r="G24" s="828">
        <v>2021</v>
      </c>
      <c r="H24" s="826"/>
    </row>
    <row r="25" spans="3:14" ht="13.15" customHeight="1" thickBot="1" x14ac:dyDescent="0.25">
      <c r="C25" s="2537"/>
      <c r="D25" s="828" t="s">
        <v>6</v>
      </c>
      <c r="E25" s="828" t="s">
        <v>7</v>
      </c>
      <c r="F25" s="828" t="s">
        <v>7</v>
      </c>
      <c r="G25" s="828" t="s">
        <v>7</v>
      </c>
      <c r="H25" s="826"/>
    </row>
    <row r="26" spans="3:14" ht="13.15" customHeight="1" thickBot="1" x14ac:dyDescent="0.25">
      <c r="C26" s="906" t="s">
        <v>9</v>
      </c>
      <c r="D26" s="917">
        <v>99457</v>
      </c>
      <c r="E26" s="916">
        <v>91500</v>
      </c>
      <c r="F26" s="916">
        <v>86450</v>
      </c>
      <c r="G26" s="915">
        <v>81250</v>
      </c>
      <c r="H26" s="914"/>
    </row>
    <row r="27" spans="3:14" ht="13.15" customHeight="1" thickBot="1" x14ac:dyDescent="0.25">
      <c r="C27" s="838" t="s">
        <v>14</v>
      </c>
      <c r="D27" s="913">
        <v>0</v>
      </c>
      <c r="E27" s="913">
        <v>585120.50400000042</v>
      </c>
      <c r="F27" s="913">
        <v>1103139.604400001</v>
      </c>
      <c r="G27" s="913">
        <v>2123092.2190159997</v>
      </c>
      <c r="H27" s="912"/>
    </row>
    <row r="28" spans="3:14" ht="13.15" customHeight="1" thickBot="1" x14ac:dyDescent="0.25">
      <c r="C28" s="906" t="s">
        <v>23</v>
      </c>
      <c r="D28" s="911">
        <f>D27/D26</f>
        <v>0</v>
      </c>
      <c r="E28" s="910">
        <f>E27/E26</f>
        <v>6.3947596065573817</v>
      </c>
      <c r="F28" s="910">
        <f>F27/F26</f>
        <v>12.760434984384048</v>
      </c>
      <c r="G28" s="909">
        <f>F28+F28*2%</f>
        <v>13.01564368407173</v>
      </c>
      <c r="H28" s="840"/>
    </row>
    <row r="29" spans="3:14" ht="13.15" customHeight="1" thickBot="1" x14ac:dyDescent="0.25">
      <c r="C29" s="906" t="s">
        <v>15</v>
      </c>
      <c r="D29" s="908"/>
      <c r="E29" s="836">
        <f t="shared" ref="E29:G31" si="1">E26/D26-1</f>
        <v>-8.00044240224419E-2</v>
      </c>
      <c r="F29" s="836">
        <f t="shared" si="1"/>
        <v>-5.519125683060111E-2</v>
      </c>
      <c r="G29" s="907">
        <f t="shared" si="1"/>
        <v>-6.0150375939849621E-2</v>
      </c>
      <c r="H29" s="835"/>
      <c r="J29" s="839"/>
      <c r="K29" s="839"/>
      <c r="L29" s="839"/>
      <c r="M29" s="839"/>
      <c r="N29" s="839"/>
    </row>
    <row r="30" spans="3:14" ht="13.15" customHeight="1" thickBot="1" x14ac:dyDescent="0.25">
      <c r="C30" s="906" t="s">
        <v>16</v>
      </c>
      <c r="D30" s="908"/>
      <c r="E30" s="836" t="e">
        <f t="shared" si="1"/>
        <v>#DIV/0!</v>
      </c>
      <c r="F30" s="836">
        <f t="shared" si="1"/>
        <v>0.88532036881073006</v>
      </c>
      <c r="G30" s="907">
        <f t="shared" si="1"/>
        <v>0.92459069599876464</v>
      </c>
      <c r="H30" s="835"/>
    </row>
    <row r="31" spans="3:14" ht="13.15" customHeight="1" thickBot="1" x14ac:dyDescent="0.25">
      <c r="C31" s="906" t="s">
        <v>17</v>
      </c>
      <c r="D31" s="905"/>
      <c r="E31" s="904" t="e">
        <f t="shared" si="1"/>
        <v>#DIV/0!</v>
      </c>
      <c r="F31" s="904">
        <f t="shared" si="1"/>
        <v>0.99545186519585638</v>
      </c>
      <c r="G31" s="903">
        <f t="shared" si="1"/>
        <v>2.0000000000000018E-2</v>
      </c>
      <c r="H31" s="835"/>
      <c r="J31" s="774">
        <f>D35*1.4</f>
        <v>0</v>
      </c>
    </row>
    <row r="32" spans="3:14" ht="13.15" customHeight="1" thickBot="1" x14ac:dyDescent="0.25">
      <c r="C32" s="834" t="s">
        <v>765</v>
      </c>
      <c r="D32" s="902"/>
      <c r="E32" s="902"/>
      <c r="F32" s="902"/>
      <c r="G32" s="901"/>
      <c r="H32" s="1486">
        <f>H35*1.1</f>
        <v>5545681.9000000004</v>
      </c>
      <c r="I32" s="1486">
        <f>H32*1.1</f>
        <v>6100250.0900000008</v>
      </c>
      <c r="J32" s="1486">
        <f>I32*1.14</f>
        <v>6954285.1025999999</v>
      </c>
      <c r="K32" s="1488" t="e">
        <f>J32/D35</f>
        <v>#DIV/0!</v>
      </c>
    </row>
    <row r="33" spans="3:11" ht="13.15" customHeight="1" x14ac:dyDescent="0.2">
      <c r="C33" s="1151"/>
      <c r="D33" s="828">
        <v>2018</v>
      </c>
      <c r="E33" s="828">
        <v>2019</v>
      </c>
      <c r="F33" s="828">
        <v>2020</v>
      </c>
      <c r="G33" s="828">
        <v>2021</v>
      </c>
      <c r="H33" s="1493">
        <f>H32*16%</f>
        <v>887309.10400000005</v>
      </c>
      <c r="I33" s="1487">
        <f t="shared" ref="I33:J33" si="2">I32*16%</f>
        <v>976040.0144000001</v>
      </c>
      <c r="J33" s="1487">
        <f t="shared" si="2"/>
        <v>1112685.6164160001</v>
      </c>
    </row>
    <row r="34" spans="3:11" ht="13.15" customHeight="1" thickBot="1" x14ac:dyDescent="0.25">
      <c r="C34" s="1152"/>
      <c r="D34" s="827" t="s">
        <v>6</v>
      </c>
      <c r="E34" s="827" t="s">
        <v>7</v>
      </c>
      <c r="F34" s="827" t="s">
        <v>7</v>
      </c>
      <c r="G34" s="827" t="s">
        <v>7</v>
      </c>
      <c r="H34" s="1487">
        <f>H37*1.1</f>
        <v>111072.50000000001</v>
      </c>
      <c r="I34" s="1487">
        <f>I37*1.1</f>
        <v>139969.5</v>
      </c>
      <c r="J34" s="1487">
        <f>J37*1.1</f>
        <v>131961.5</v>
      </c>
    </row>
    <row r="35" spans="3:11" ht="13.15" customHeight="1" thickBot="1" x14ac:dyDescent="0.25">
      <c r="C35" s="809" t="s">
        <v>0</v>
      </c>
      <c r="D35" s="899">
        <f>'09230_AM_Form 2 Kerk Ligj19-21'!D44-'Formati 2.1 Arsimi Mesem'!D41</f>
        <v>0</v>
      </c>
      <c r="E35" s="899">
        <f>'09230_AM_Form 2 Kerk Ligj19-21'!E44-'Formati 2.1 Arsimi Mesem'!E41</f>
        <v>504152.90000000037</v>
      </c>
      <c r="F35" s="899">
        <f>'09230_AM_Form 2 Kerk Ligj19-21'!F44-'Formati 2.1 Arsimi Mesem'!F41</f>
        <v>949400.09000000078</v>
      </c>
      <c r="G35" s="899">
        <f>'09230_AM_Form 2 Kerk Ligj19-21'!G44-'Formati 2.1 Arsimi Mesem'!G41</f>
        <v>1803435.1025999999</v>
      </c>
      <c r="H35" s="898">
        <v>5041529</v>
      </c>
      <c r="I35" s="900">
        <v>5150850</v>
      </c>
      <c r="J35" s="900">
        <v>5150850</v>
      </c>
      <c r="K35" s="900"/>
    </row>
    <row r="36" spans="3:11" ht="15.6" customHeight="1" thickBot="1" x14ac:dyDescent="0.25">
      <c r="C36" s="809" t="s">
        <v>49</v>
      </c>
      <c r="D36" s="899">
        <f>'09230_AM_Form 2 Kerk Ligj19-21'!D45-'Formati 2.1 Arsimi Mesem'!D42</f>
        <v>0</v>
      </c>
      <c r="E36" s="899">
        <f>'09230_AM_Form 2 Kerk Ligj19-21'!E45-'Formati 2.1 Arsimi Mesem'!E42</f>
        <v>30870.10400000005</v>
      </c>
      <c r="F36" s="899">
        <f>'09230_AM_Form 2 Kerk Ligj19-21'!F45-'Formati 2.1 Arsimi Mesem'!F42</f>
        <v>91015.014400000102</v>
      </c>
      <c r="G36" s="899">
        <f>'09230_AM_Form 2 Kerk Ligj19-21'!G45-'Formati 2.1 Arsimi Mesem'!G42</f>
        <v>227660.61641600006</v>
      </c>
      <c r="H36" s="898">
        <v>856439</v>
      </c>
      <c r="I36" s="774">
        <v>885025</v>
      </c>
      <c r="J36" s="774">
        <v>885025</v>
      </c>
    </row>
    <row r="37" spans="3:11" ht="13.15" customHeight="1" thickBot="1" x14ac:dyDescent="0.25">
      <c r="C37" s="809" t="s">
        <v>1</v>
      </c>
      <c r="D37" s="899">
        <f>'09230_AM_Form 2 Kerk Ligj19-21'!D46-'Formati 2.1 Arsimi Mesem'!D43</f>
        <v>0</v>
      </c>
      <c r="E37" s="899">
        <f>'09230_AM_Form 2 Kerk Ligj19-21'!E46-'Formati 2.1 Arsimi Mesem'!E43</f>
        <v>50097.5</v>
      </c>
      <c r="F37" s="899">
        <f>'09230_AM_Form 2 Kerk Ligj19-21'!F46-'Formati 2.1 Arsimi Mesem'!F43</f>
        <v>62724.5</v>
      </c>
      <c r="G37" s="899">
        <f>'09230_AM_Form 2 Kerk Ligj19-21'!G46-'Formati 2.1 Arsimi Mesem'!G43</f>
        <v>91996.5</v>
      </c>
      <c r="H37" s="894">
        <v>100975</v>
      </c>
      <c r="I37" s="774">
        <v>127245</v>
      </c>
      <c r="J37" s="774">
        <v>119965</v>
      </c>
    </row>
    <row r="38" spans="3:11" ht="13.15" customHeight="1" thickBot="1" x14ac:dyDescent="0.25">
      <c r="C38" s="809" t="s">
        <v>2</v>
      </c>
      <c r="D38" s="899">
        <f>'09230_AM_Form 2 Kerk Ligj19-21'!D47-'Formati 2.1 Arsimi Mesem'!D44</f>
        <v>0</v>
      </c>
      <c r="E38" s="899">
        <f>'09230_AM_Form 2 Kerk Ligj19-21'!E47-'Formati 2.1 Arsimi Mesem'!E44</f>
        <v>0</v>
      </c>
      <c r="F38" s="899">
        <f>'09230_AM_Form 2 Kerk Ligj19-21'!F47-'Formati 2.1 Arsimi Mesem'!F44</f>
        <v>0</v>
      </c>
      <c r="G38" s="899">
        <f>'09230_AM_Form 2 Kerk Ligj19-21'!G47-'Formati 2.1 Arsimi Mesem'!G44</f>
        <v>0</v>
      </c>
      <c r="H38" s="898"/>
    </row>
    <row r="39" spans="3:11" ht="13.15" customHeight="1" thickBot="1" x14ac:dyDescent="0.25">
      <c r="C39" s="809" t="s">
        <v>28</v>
      </c>
      <c r="D39" s="895">
        <v>0</v>
      </c>
      <c r="E39" s="899"/>
      <c r="F39" s="899"/>
      <c r="G39" s="899"/>
      <c r="H39" s="898"/>
    </row>
    <row r="40" spans="3:11" ht="13.15" customHeight="1" thickBot="1" x14ac:dyDescent="0.25">
      <c r="C40" s="809" t="s">
        <v>30</v>
      </c>
      <c r="D40" s="895">
        <v>0</v>
      </c>
      <c r="E40" s="899"/>
      <c r="F40" s="899"/>
      <c r="G40" s="899"/>
      <c r="H40" s="898"/>
    </row>
    <row r="41" spans="3:11" ht="13.9" customHeight="1" thickBot="1" x14ac:dyDescent="0.25">
      <c r="C41" s="809" t="s">
        <v>3</v>
      </c>
      <c r="D41" s="897"/>
      <c r="E41" s="897"/>
      <c r="F41" s="897"/>
      <c r="G41" s="897"/>
      <c r="H41" s="896"/>
    </row>
    <row r="42" spans="3:11" ht="13.15" customHeight="1" thickBot="1" x14ac:dyDescent="0.25">
      <c r="C42" s="830" t="s">
        <v>764</v>
      </c>
      <c r="D42" s="895">
        <f>SUM(D35:D41)</f>
        <v>0</v>
      </c>
      <c r="E42" s="895">
        <f>SUM(E35:E41)</f>
        <v>585120.50400000042</v>
      </c>
      <c r="F42" s="895">
        <f>SUM(F35:F41)</f>
        <v>1103139.604400001</v>
      </c>
      <c r="G42" s="895">
        <f>SUM(G35:G41)</f>
        <v>2123092.2190159997</v>
      </c>
      <c r="H42" s="894"/>
    </row>
    <row r="43" spans="3:11" ht="13.15" customHeight="1" thickBot="1" x14ac:dyDescent="0.25">
      <c r="C43" s="802" t="s">
        <v>70</v>
      </c>
      <c r="D43" s="801">
        <f>D42-D27</f>
        <v>0</v>
      </c>
      <c r="E43" s="801">
        <f>E42-E27</f>
        <v>0</v>
      </c>
      <c r="F43" s="801">
        <f>F42-F27</f>
        <v>0</v>
      </c>
      <c r="G43" s="801">
        <f>G42-G27</f>
        <v>0</v>
      </c>
      <c r="H43" s="800"/>
    </row>
    <row r="44" spans="3:11" ht="35.450000000000003" customHeight="1" thickBot="1" x14ac:dyDescent="0.25">
      <c r="C44" s="850" t="s">
        <v>756</v>
      </c>
      <c r="D44" s="2530" t="s">
        <v>755</v>
      </c>
      <c r="E44" s="2531"/>
      <c r="F44" s="2531"/>
      <c r="G44" s="2532"/>
      <c r="H44" s="848"/>
    </row>
    <row r="45" spans="3:11" ht="38.25" customHeight="1" thickBot="1" x14ac:dyDescent="0.25">
      <c r="C45" s="838" t="s">
        <v>10</v>
      </c>
      <c r="D45" s="2530" t="s">
        <v>755</v>
      </c>
      <c r="E45" s="2531"/>
      <c r="F45" s="2531"/>
      <c r="G45" s="2532"/>
      <c r="H45" s="848"/>
    </row>
    <row r="46" spans="3:11" ht="13.15" customHeight="1" thickBot="1" x14ac:dyDescent="0.25">
      <c r="C46" s="838" t="s">
        <v>13</v>
      </c>
      <c r="D46" s="2533" t="s">
        <v>754</v>
      </c>
      <c r="E46" s="2534"/>
      <c r="F46" s="2534"/>
      <c r="G46" s="2535"/>
      <c r="H46" s="847"/>
    </row>
    <row r="47" spans="3:11" ht="13.15" customHeight="1" x14ac:dyDescent="0.2">
      <c r="C47" s="2536"/>
      <c r="D47" s="828">
        <v>2018</v>
      </c>
      <c r="E47" s="828">
        <v>2019</v>
      </c>
      <c r="F47" s="828">
        <v>2020</v>
      </c>
      <c r="G47" s="828">
        <v>2021</v>
      </c>
      <c r="H47" s="1494">
        <f>H49*1.1</f>
        <v>19800</v>
      </c>
      <c r="I47" s="1494">
        <f t="shared" ref="I47:J47" si="3">I49*1.1</f>
        <v>19800</v>
      </c>
      <c r="J47" s="1494">
        <f t="shared" si="3"/>
        <v>19800</v>
      </c>
    </row>
    <row r="48" spans="3:11" ht="13.15" customHeight="1" thickBot="1" x14ac:dyDescent="0.25">
      <c r="C48" s="2537"/>
      <c r="D48" s="827" t="s">
        <v>6</v>
      </c>
      <c r="E48" s="827" t="s">
        <v>7</v>
      </c>
      <c r="F48" s="827" t="s">
        <v>7</v>
      </c>
      <c r="G48" s="827" t="s">
        <v>7</v>
      </c>
      <c r="H48" s="826">
        <f>H50*1.4</f>
        <v>100800</v>
      </c>
      <c r="I48" s="826">
        <f t="shared" ref="I48:J48" si="4">I50*1.4</f>
        <v>103600</v>
      </c>
      <c r="J48" s="826">
        <f t="shared" si="4"/>
        <v>106400</v>
      </c>
    </row>
    <row r="49" spans="3:14" ht="13.15" customHeight="1" thickBot="1" x14ac:dyDescent="0.25">
      <c r="C49" s="838" t="s">
        <v>9</v>
      </c>
      <c r="D49" s="888">
        <f>'09230_AM_Form 2 Kerk Ligj19-21'!D111</f>
        <v>18000</v>
      </c>
      <c r="E49" s="888">
        <f>'09230_AM_Form 2 Kerk Ligj19-21'!E111</f>
        <v>19800</v>
      </c>
      <c r="F49" s="888">
        <f>'09230_AM_Form 2 Kerk Ligj19-21'!F111</f>
        <v>19800</v>
      </c>
      <c r="G49" s="888">
        <f>'09230_AM_Form 2 Kerk Ligj19-21'!G111</f>
        <v>19800</v>
      </c>
      <c r="H49" s="883">
        <v>18000</v>
      </c>
      <c r="I49" s="774">
        <v>18000</v>
      </c>
      <c r="J49" s="774">
        <v>18000</v>
      </c>
    </row>
    <row r="50" spans="3:14" ht="13.15" customHeight="1" thickBot="1" x14ac:dyDescent="0.25">
      <c r="C50" s="838" t="s">
        <v>14</v>
      </c>
      <c r="D50" s="888">
        <f>'09230_AM_Form 2 Kerk Ligj19-21'!D112-'Formati 2.1 Arsimi Mesem'!D109</f>
        <v>0</v>
      </c>
      <c r="E50" s="888">
        <f>'09230_AM_Form 2 Kerk Ligj19-21'!E112-'Formati 2.1 Arsimi Mesem'!E109</f>
        <v>28800</v>
      </c>
      <c r="F50" s="888">
        <f>'09230_AM_Form 2 Kerk Ligj19-21'!F112-'Formati 2.1 Arsimi Mesem'!F109</f>
        <v>29600</v>
      </c>
      <c r="G50" s="888">
        <f>'09230_AM_Form 2 Kerk Ligj19-21'!G112-'Formati 2.1 Arsimi Mesem'!G109</f>
        <v>30400</v>
      </c>
      <c r="H50" s="887">
        <v>72000</v>
      </c>
      <c r="I50" s="774">
        <v>74000</v>
      </c>
      <c r="J50" s="774">
        <v>76000</v>
      </c>
    </row>
    <row r="51" spans="3:14" ht="13.15" customHeight="1" thickBot="1" x14ac:dyDescent="0.25">
      <c r="C51" s="838" t="s">
        <v>23</v>
      </c>
      <c r="D51" s="842">
        <f>D50/D49</f>
        <v>0</v>
      </c>
      <c r="E51" s="842">
        <f>E50/E49</f>
        <v>1.4545454545454546</v>
      </c>
      <c r="F51" s="842">
        <f>F50/F49</f>
        <v>1.494949494949495</v>
      </c>
      <c r="G51" s="842">
        <f>G50/G49</f>
        <v>1.5353535353535352</v>
      </c>
      <c r="H51" s="863"/>
    </row>
    <row r="52" spans="3:14" ht="13.15" customHeight="1" thickBot="1" x14ac:dyDescent="0.25">
      <c r="C52" s="838" t="s">
        <v>15</v>
      </c>
      <c r="D52" s="837"/>
      <c r="E52" s="836">
        <f t="shared" ref="E52:G54" si="5">E49/D49-1</f>
        <v>0.10000000000000009</v>
      </c>
      <c r="F52" s="836">
        <f t="shared" si="5"/>
        <v>0</v>
      </c>
      <c r="G52" s="836">
        <f t="shared" si="5"/>
        <v>0</v>
      </c>
      <c r="H52" s="835"/>
      <c r="J52" s="839"/>
      <c r="K52" s="839"/>
      <c r="L52" s="839"/>
      <c r="M52" s="839"/>
      <c r="N52" s="839"/>
    </row>
    <row r="53" spans="3:14" ht="13.15" customHeight="1" thickBot="1" x14ac:dyDescent="0.25">
      <c r="C53" s="838" t="s">
        <v>16</v>
      </c>
      <c r="D53" s="837"/>
      <c r="E53" s="836" t="e">
        <f t="shared" si="5"/>
        <v>#DIV/0!</v>
      </c>
      <c r="F53" s="836">
        <f t="shared" si="5"/>
        <v>2.7777777777777679E-2</v>
      </c>
      <c r="G53" s="836">
        <f t="shared" si="5"/>
        <v>2.7027027027026973E-2</v>
      </c>
      <c r="H53" s="835"/>
    </row>
    <row r="54" spans="3:14" ht="13.15" customHeight="1" thickBot="1" x14ac:dyDescent="0.25">
      <c r="C54" s="838" t="s">
        <v>17</v>
      </c>
      <c r="D54" s="837"/>
      <c r="E54" s="836" t="e">
        <f t="shared" si="5"/>
        <v>#DIV/0!</v>
      </c>
      <c r="F54" s="836">
        <f t="shared" si="5"/>
        <v>2.7777777777777901E-2</v>
      </c>
      <c r="G54" s="836">
        <f t="shared" si="5"/>
        <v>2.7027027027026973E-2</v>
      </c>
      <c r="H54" s="835"/>
    </row>
    <row r="55" spans="3:14" ht="23.25" customHeight="1" thickBot="1" x14ac:dyDescent="0.25">
      <c r="C55" s="834" t="s">
        <v>729</v>
      </c>
      <c r="D55" s="833"/>
      <c r="E55" s="833"/>
      <c r="F55" s="833"/>
      <c r="G55" s="832"/>
      <c r="H55" s="831"/>
    </row>
    <row r="56" spans="3:14" ht="13.15" customHeight="1" x14ac:dyDescent="0.2">
      <c r="C56" s="1151"/>
      <c r="D56" s="828">
        <v>2018</v>
      </c>
      <c r="E56" s="828">
        <v>2019</v>
      </c>
      <c r="F56" s="828">
        <v>2020</v>
      </c>
      <c r="G56" s="828">
        <v>2021</v>
      </c>
      <c r="H56" s="826"/>
    </row>
    <row r="57" spans="3:14" ht="13.15" customHeight="1" thickBot="1" x14ac:dyDescent="0.25">
      <c r="C57" s="1152"/>
      <c r="D57" s="827" t="s">
        <v>6</v>
      </c>
      <c r="E57" s="827" t="s">
        <v>7</v>
      </c>
      <c r="F57" s="827" t="s">
        <v>7</v>
      </c>
      <c r="G57" s="827" t="s">
        <v>7</v>
      </c>
      <c r="H57" s="826"/>
    </row>
    <row r="58" spans="3:14" ht="13.15" customHeight="1" thickBot="1" x14ac:dyDescent="0.25">
      <c r="C58" s="809" t="s">
        <v>0</v>
      </c>
      <c r="D58" s="818">
        <v>0</v>
      </c>
      <c r="E58" s="818"/>
      <c r="F58" s="818"/>
      <c r="G58" s="818"/>
      <c r="H58" s="817"/>
    </row>
    <row r="59" spans="3:14" ht="13.15" customHeight="1" thickBot="1" x14ac:dyDescent="0.25">
      <c r="C59" s="809" t="s">
        <v>49</v>
      </c>
      <c r="D59" s="818">
        <v>0</v>
      </c>
      <c r="E59" s="818"/>
      <c r="F59" s="818"/>
      <c r="G59" s="818"/>
      <c r="H59" s="817"/>
    </row>
    <row r="60" spans="3:14" ht="13.15" customHeight="1" thickBot="1" x14ac:dyDescent="0.25">
      <c r="C60" s="809" t="s">
        <v>1</v>
      </c>
      <c r="D60" s="805">
        <v>0</v>
      </c>
      <c r="E60" s="818"/>
      <c r="F60" s="818"/>
      <c r="G60" s="818"/>
      <c r="H60" s="817"/>
    </row>
    <row r="61" spans="3:14" ht="13.15" customHeight="1" thickBot="1" x14ac:dyDescent="0.25">
      <c r="C61" s="809" t="s">
        <v>2</v>
      </c>
      <c r="D61" s="805">
        <v>0</v>
      </c>
      <c r="E61" s="818"/>
      <c r="F61" s="818"/>
      <c r="G61" s="818"/>
      <c r="H61" s="817"/>
    </row>
    <row r="62" spans="3:14" ht="13.15" customHeight="1" thickBot="1" x14ac:dyDescent="0.25">
      <c r="C62" s="809" t="s">
        <v>28</v>
      </c>
      <c r="D62" s="805">
        <v>0</v>
      </c>
      <c r="E62" s="818"/>
      <c r="F62" s="818"/>
      <c r="G62" s="818"/>
      <c r="H62" s="817"/>
    </row>
    <row r="63" spans="3:14" ht="13.15" customHeight="1" thickBot="1" x14ac:dyDescent="0.25">
      <c r="C63" s="809" t="s">
        <v>30</v>
      </c>
      <c r="D63" s="805">
        <v>0</v>
      </c>
      <c r="E63" s="818"/>
      <c r="F63" s="818"/>
      <c r="G63" s="818"/>
      <c r="H63" s="817"/>
    </row>
    <row r="64" spans="3:14" ht="13.15" customHeight="1" thickBot="1" x14ac:dyDescent="0.25">
      <c r="C64" s="809" t="s">
        <v>3</v>
      </c>
      <c r="D64" s="794">
        <f>D50</f>
        <v>0</v>
      </c>
      <c r="E64" s="794">
        <f>E50</f>
        <v>28800</v>
      </c>
      <c r="F64" s="794">
        <f>F50</f>
        <v>29600</v>
      </c>
      <c r="G64" s="794">
        <f>G50</f>
        <v>30400</v>
      </c>
      <c r="H64" s="793"/>
    </row>
    <row r="65" spans="3:14" ht="13.15" customHeight="1" thickBot="1" x14ac:dyDescent="0.25">
      <c r="C65" s="1503"/>
      <c r="D65" s="794"/>
      <c r="E65" s="794"/>
      <c r="F65" s="794"/>
      <c r="G65" s="794"/>
      <c r="H65" s="793"/>
    </row>
    <row r="66" spans="3:14" ht="13.15" customHeight="1" thickBot="1" x14ac:dyDescent="0.25">
      <c r="C66" s="1503"/>
      <c r="D66" s="794"/>
      <c r="E66" s="794"/>
      <c r="F66" s="794"/>
      <c r="G66" s="794"/>
      <c r="H66" s="793"/>
    </row>
    <row r="67" spans="3:14" ht="13.15" customHeight="1" thickBot="1" x14ac:dyDescent="0.25">
      <c r="C67" s="830" t="s">
        <v>641</v>
      </c>
      <c r="D67" s="805">
        <f>SUM(D58:D64)</f>
        <v>0</v>
      </c>
      <c r="E67" s="805">
        <f>SUM(E58:E64)</f>
        <v>28800</v>
      </c>
      <c r="F67" s="805">
        <f>SUM(F58:F64)</f>
        <v>29600</v>
      </c>
      <c r="G67" s="805">
        <f>SUM(G58:G64)</f>
        <v>30400</v>
      </c>
      <c r="H67" s="816"/>
    </row>
    <row r="68" spans="3:14" ht="13.15" customHeight="1" thickBot="1" x14ac:dyDescent="0.25">
      <c r="C68" s="802" t="s">
        <v>70</v>
      </c>
      <c r="D68" s="801">
        <f>D67-D50</f>
        <v>0</v>
      </c>
      <c r="E68" s="801">
        <f>E67-E50</f>
        <v>0</v>
      </c>
      <c r="F68" s="801">
        <f>F67-F50</f>
        <v>0</v>
      </c>
      <c r="G68" s="801">
        <f>G67-G50</f>
        <v>0</v>
      </c>
      <c r="H68" s="800"/>
    </row>
    <row r="69" spans="3:14" ht="13.15" customHeight="1" thickBot="1" x14ac:dyDescent="0.25">
      <c r="C69" s="850" t="s">
        <v>753</v>
      </c>
      <c r="D69" s="2530" t="s">
        <v>752</v>
      </c>
      <c r="E69" s="2531"/>
      <c r="F69" s="2531"/>
      <c r="G69" s="2532"/>
      <c r="H69" s="848"/>
    </row>
    <row r="70" spans="3:14" ht="25.5" customHeight="1" thickBot="1" x14ac:dyDescent="0.25">
      <c r="C70" s="838" t="s">
        <v>10</v>
      </c>
      <c r="D70" s="2530" t="s">
        <v>751</v>
      </c>
      <c r="E70" s="2531"/>
      <c r="F70" s="2531"/>
      <c r="G70" s="2532"/>
      <c r="H70" s="848"/>
    </row>
    <row r="71" spans="3:14" ht="13.15" customHeight="1" thickBot="1" x14ac:dyDescent="0.25">
      <c r="C71" s="838" t="s">
        <v>13</v>
      </c>
      <c r="D71" s="2533" t="s">
        <v>750</v>
      </c>
      <c r="E71" s="2534"/>
      <c r="F71" s="2534"/>
      <c r="G71" s="2535"/>
      <c r="H71" s="847"/>
    </row>
    <row r="72" spans="3:14" ht="13.15" customHeight="1" x14ac:dyDescent="0.2">
      <c r="C72" s="2536"/>
      <c r="D72" s="828">
        <v>2018</v>
      </c>
      <c r="E72" s="828">
        <v>2019</v>
      </c>
      <c r="F72" s="828">
        <v>2020</v>
      </c>
      <c r="G72" s="828">
        <v>2021</v>
      </c>
      <c r="H72" s="1494">
        <f>H74*1.2</f>
        <v>3600</v>
      </c>
      <c r="I72" s="1494">
        <f t="shared" ref="I72:J72" si="6">I74*1.2</f>
        <v>3600</v>
      </c>
      <c r="J72" s="1494">
        <f t="shared" si="6"/>
        <v>3600</v>
      </c>
    </row>
    <row r="73" spans="3:14" ht="13.15" customHeight="1" thickBot="1" x14ac:dyDescent="0.25">
      <c r="C73" s="2537"/>
      <c r="D73" s="827" t="s">
        <v>6</v>
      </c>
      <c r="E73" s="827" t="s">
        <v>7</v>
      </c>
      <c r="F73" s="827" t="s">
        <v>7</v>
      </c>
      <c r="G73" s="827" t="s">
        <v>7</v>
      </c>
      <c r="H73" s="1494">
        <f>H75*1.3</f>
        <v>42900</v>
      </c>
      <c r="I73" s="1494">
        <f t="shared" ref="I73:J73" si="7">I75*1.3</f>
        <v>46800</v>
      </c>
      <c r="J73" s="1494">
        <f t="shared" si="7"/>
        <v>50700</v>
      </c>
    </row>
    <row r="74" spans="3:14" ht="13.15" customHeight="1" thickBot="1" x14ac:dyDescent="0.25">
      <c r="C74" s="838" t="s">
        <v>9</v>
      </c>
      <c r="D74" s="884">
        <f>'09230_AM_Form 2 Kerk Ligj19-21'!D134</f>
        <v>3000</v>
      </c>
      <c r="E74" s="884">
        <f>'09230_AM_Form 2 Kerk Ligj19-21'!E134</f>
        <v>3600</v>
      </c>
      <c r="F74" s="884">
        <f>'09230_AM_Form 2 Kerk Ligj19-21'!F134</f>
        <v>3600</v>
      </c>
      <c r="G74" s="884">
        <f>'09230_AM_Form 2 Kerk Ligj19-21'!G134</f>
        <v>3600</v>
      </c>
      <c r="H74" s="883">
        <v>3000</v>
      </c>
      <c r="I74" s="774">
        <v>3000</v>
      </c>
      <c r="J74" s="774">
        <v>3000</v>
      </c>
    </row>
    <row r="75" spans="3:14" ht="13.15" customHeight="1" thickBot="1" x14ac:dyDescent="0.25">
      <c r="C75" s="838" t="s">
        <v>14</v>
      </c>
      <c r="D75" s="884">
        <f>'09230_AM_Form 2 Kerk Ligj19-21'!D135-'Formati 2.1 Arsimi Mesem'!D142</f>
        <v>0</v>
      </c>
      <c r="E75" s="884">
        <f>'09230_AM_Form 2 Kerk Ligj19-21'!E135-'Formati 2.1 Arsimi Mesem'!E142</f>
        <v>9900</v>
      </c>
      <c r="F75" s="884">
        <f>'09230_AM_Form 2 Kerk Ligj19-21'!F135-'Formati 2.1 Arsimi Mesem'!F142</f>
        <v>10800</v>
      </c>
      <c r="G75" s="884">
        <f>'09230_AM_Form 2 Kerk Ligj19-21'!G135-'Formati 2.1 Arsimi Mesem'!G142</f>
        <v>11700</v>
      </c>
      <c r="H75" s="883">
        <v>33000</v>
      </c>
      <c r="I75" s="774">
        <v>36000</v>
      </c>
      <c r="J75" s="774">
        <v>39000</v>
      </c>
    </row>
    <row r="76" spans="3:14" ht="13.15" customHeight="1" thickBot="1" x14ac:dyDescent="0.25">
      <c r="C76" s="838" t="s">
        <v>23</v>
      </c>
      <c r="D76" s="875">
        <v>10</v>
      </c>
      <c r="E76" s="875">
        <v>11</v>
      </c>
      <c r="F76" s="875">
        <v>12</v>
      </c>
      <c r="G76" s="875">
        <v>13</v>
      </c>
      <c r="H76" s="874"/>
    </row>
    <row r="77" spans="3:14" ht="13.15" customHeight="1" thickBot="1" x14ac:dyDescent="0.25">
      <c r="C77" s="838" t="s">
        <v>15</v>
      </c>
      <c r="D77" s="837"/>
      <c r="E77" s="836">
        <f t="shared" ref="E77:G79" si="8">E74/D74-1</f>
        <v>0.19999999999999996</v>
      </c>
      <c r="F77" s="836">
        <f t="shared" si="8"/>
        <v>0</v>
      </c>
      <c r="G77" s="836">
        <f t="shared" si="8"/>
        <v>0</v>
      </c>
      <c r="H77" s="835"/>
      <c r="J77" s="839"/>
      <c r="K77" s="839"/>
      <c r="L77" s="839"/>
      <c r="M77" s="839"/>
      <c r="N77" s="839"/>
    </row>
    <row r="78" spans="3:14" ht="13.15" customHeight="1" thickBot="1" x14ac:dyDescent="0.25">
      <c r="C78" s="838" t="s">
        <v>16</v>
      </c>
      <c r="D78" s="837"/>
      <c r="E78" s="836" t="e">
        <f t="shared" si="8"/>
        <v>#DIV/0!</v>
      </c>
      <c r="F78" s="836">
        <f t="shared" si="8"/>
        <v>9.0909090909090828E-2</v>
      </c>
      <c r="G78" s="836">
        <f t="shared" si="8"/>
        <v>8.3333333333333259E-2</v>
      </c>
      <c r="H78" s="835"/>
    </row>
    <row r="79" spans="3:14" ht="13.15" customHeight="1" thickBot="1" x14ac:dyDescent="0.25">
      <c r="C79" s="838" t="s">
        <v>17</v>
      </c>
      <c r="D79" s="837"/>
      <c r="E79" s="836">
        <f t="shared" si="8"/>
        <v>0.10000000000000009</v>
      </c>
      <c r="F79" s="836">
        <f t="shared" si="8"/>
        <v>9.0909090909090828E-2</v>
      </c>
      <c r="G79" s="836">
        <f t="shared" si="8"/>
        <v>8.3333333333333259E-2</v>
      </c>
      <c r="H79" s="835"/>
    </row>
    <row r="80" spans="3:14" ht="13.15" customHeight="1" thickBot="1" x14ac:dyDescent="0.25">
      <c r="C80" s="834" t="s">
        <v>749</v>
      </c>
      <c r="D80" s="833"/>
      <c r="E80" s="833"/>
      <c r="F80" s="833"/>
      <c r="G80" s="832"/>
      <c r="H80" s="831"/>
    </row>
    <row r="81" spans="3:13" ht="13.15" customHeight="1" x14ac:dyDescent="0.2">
      <c r="C81" s="1151"/>
      <c r="D81" s="828">
        <v>2018</v>
      </c>
      <c r="E81" s="828">
        <v>2019</v>
      </c>
      <c r="F81" s="828">
        <v>2020</v>
      </c>
      <c r="G81" s="828">
        <v>2021</v>
      </c>
      <c r="H81" s="826"/>
    </row>
    <row r="82" spans="3:13" ht="13.15" customHeight="1" thickBot="1" x14ac:dyDescent="0.25">
      <c r="C82" s="1152"/>
      <c r="D82" s="827" t="s">
        <v>6</v>
      </c>
      <c r="E82" s="827" t="s">
        <v>7</v>
      </c>
      <c r="F82" s="827" t="s">
        <v>7</v>
      </c>
      <c r="G82" s="827" t="s">
        <v>7</v>
      </c>
      <c r="H82" s="826"/>
    </row>
    <row r="83" spans="3:13" ht="13.15" customHeight="1" thickBot="1" x14ac:dyDescent="0.25">
      <c r="C83" s="809" t="s">
        <v>0</v>
      </c>
      <c r="D83" s="818">
        <v>0</v>
      </c>
      <c r="E83" s="818"/>
      <c r="F83" s="818"/>
      <c r="G83" s="818"/>
      <c r="H83" s="817"/>
    </row>
    <row r="84" spans="3:13" ht="13.15" customHeight="1" thickBot="1" x14ac:dyDescent="0.25">
      <c r="C84" s="809" t="s">
        <v>49</v>
      </c>
      <c r="D84" s="818">
        <v>0</v>
      </c>
      <c r="E84" s="818"/>
      <c r="F84" s="818"/>
      <c r="G84" s="818"/>
      <c r="H84" s="817"/>
    </row>
    <row r="85" spans="3:13" ht="13.15" customHeight="1" thickBot="1" x14ac:dyDescent="0.25">
      <c r="C85" s="809" t="s">
        <v>1</v>
      </c>
      <c r="D85" s="805">
        <f>D75</f>
        <v>0</v>
      </c>
      <c r="E85" s="805">
        <f>E75</f>
        <v>9900</v>
      </c>
      <c r="F85" s="805">
        <f>F75</f>
        <v>10800</v>
      </c>
      <c r="G85" s="805">
        <f>G75</f>
        <v>11700</v>
      </c>
      <c r="H85" s="816"/>
    </row>
    <row r="86" spans="3:13" ht="13.15" customHeight="1" thickBot="1" x14ac:dyDescent="0.25">
      <c r="C86" s="809"/>
      <c r="D86" s="805"/>
      <c r="E86" s="805"/>
      <c r="F86" s="805"/>
      <c r="G86" s="805"/>
      <c r="H86" s="816"/>
    </row>
    <row r="87" spans="3:13" ht="13.15" customHeight="1" thickBot="1" x14ac:dyDescent="0.25">
      <c r="C87" s="809"/>
      <c r="D87" s="805"/>
      <c r="E87" s="805"/>
      <c r="F87" s="805"/>
      <c r="G87" s="805"/>
      <c r="H87" s="816"/>
    </row>
    <row r="88" spans="3:13" ht="13.15" customHeight="1" thickBot="1" x14ac:dyDescent="0.25">
      <c r="C88" s="809" t="s">
        <v>2</v>
      </c>
      <c r="D88" s="805">
        <v>0</v>
      </c>
      <c r="E88" s="818"/>
      <c r="F88" s="818"/>
      <c r="G88" s="818"/>
      <c r="H88" s="817"/>
    </row>
    <row r="89" spans="3:13" ht="13.15" customHeight="1" thickBot="1" x14ac:dyDescent="0.25">
      <c r="C89" s="809" t="s">
        <v>28</v>
      </c>
      <c r="D89" s="805">
        <v>0</v>
      </c>
      <c r="E89" s="818"/>
      <c r="F89" s="818"/>
      <c r="G89" s="818"/>
      <c r="H89" s="817"/>
    </row>
    <row r="90" spans="3:13" ht="13.15" customHeight="1" thickBot="1" x14ac:dyDescent="0.25">
      <c r="C90" s="809" t="s">
        <v>30</v>
      </c>
      <c r="D90" s="805">
        <v>0</v>
      </c>
      <c r="E90" s="818"/>
      <c r="F90" s="818"/>
      <c r="G90" s="818"/>
      <c r="H90" s="817"/>
    </row>
    <row r="91" spans="3:13" ht="13.15" customHeight="1" thickBot="1" x14ac:dyDescent="0.25">
      <c r="C91" s="809" t="s">
        <v>3</v>
      </c>
      <c r="D91" s="794"/>
      <c r="E91" s="794"/>
      <c r="F91" s="794"/>
      <c r="G91" s="794"/>
      <c r="H91" s="793"/>
    </row>
    <row r="92" spans="3:13" ht="13.15" customHeight="1" thickBot="1" x14ac:dyDescent="0.25">
      <c r="C92" s="830" t="s">
        <v>748</v>
      </c>
      <c r="D92" s="805">
        <f>SUM(D83:D91)</f>
        <v>0</v>
      </c>
      <c r="E92" s="805">
        <f>SUM(E83:E91)</f>
        <v>9900</v>
      </c>
      <c r="F92" s="805">
        <f>SUM(F83:F91)</f>
        <v>10800</v>
      </c>
      <c r="G92" s="805">
        <f>SUM(G83:G91)</f>
        <v>11700</v>
      </c>
      <c r="H92" s="816"/>
    </row>
    <row r="93" spans="3:13" ht="13.15" customHeight="1" thickBot="1" x14ac:dyDescent="0.25">
      <c r="C93" s="802" t="s">
        <v>70</v>
      </c>
      <c r="D93" s="801">
        <f>D75-D92</f>
        <v>0</v>
      </c>
      <c r="E93" s="801">
        <f>E75-E92</f>
        <v>0</v>
      </c>
      <c r="F93" s="801">
        <f>F75-F92</f>
        <v>0</v>
      </c>
      <c r="G93" s="801">
        <f>G75-G92</f>
        <v>0</v>
      </c>
      <c r="H93" s="800"/>
    </row>
    <row r="94" spans="3:13" s="869" customFormat="1" ht="29.45" customHeight="1" thickBot="1" x14ac:dyDescent="0.25">
      <c r="C94" s="871" t="s">
        <v>512</v>
      </c>
      <c r="D94" s="2530" t="s">
        <v>1046</v>
      </c>
      <c r="E94" s="2531"/>
      <c r="F94" s="2531"/>
      <c r="G94" s="2532"/>
      <c r="H94" s="848"/>
    </row>
    <row r="95" spans="3:13" ht="13.15" customHeight="1" x14ac:dyDescent="0.2">
      <c r="C95" s="2549" t="s">
        <v>537</v>
      </c>
      <c r="D95" s="2550"/>
      <c r="E95" s="2550"/>
      <c r="F95" s="2550"/>
      <c r="G95" s="2551"/>
      <c r="H95" s="857"/>
      <c r="K95" s="856"/>
      <c r="M95" s="856"/>
    </row>
    <row r="96" spans="3:13" ht="13.15" customHeight="1" x14ac:dyDescent="0.2">
      <c r="C96" s="858"/>
      <c r="D96" s="881">
        <v>2018</v>
      </c>
      <c r="E96" s="881">
        <v>2019</v>
      </c>
      <c r="F96" s="881">
        <v>2020</v>
      </c>
      <c r="G96" s="881">
        <v>2021</v>
      </c>
      <c r="H96" s="826"/>
      <c r="K96" s="856"/>
      <c r="M96" s="856"/>
    </row>
    <row r="97" spans="3:14" s="1496" customFormat="1" ht="13.15" customHeight="1" thickBot="1" x14ac:dyDescent="0.25">
      <c r="C97" s="1479" t="s">
        <v>1047</v>
      </c>
      <c r="D97" s="1504">
        <f>54+D125</f>
        <v>54</v>
      </c>
      <c r="E97" s="1499">
        <f>54+E125</f>
        <v>168</v>
      </c>
      <c r="F97" s="1499">
        <f>54+F125</f>
        <v>168</v>
      </c>
      <c r="G97" s="1499">
        <f>54+G125</f>
        <v>229</v>
      </c>
      <c r="H97" s="1497"/>
    </row>
    <row r="98" spans="3:14" s="1496" customFormat="1" ht="21" customHeight="1" thickBot="1" x14ac:dyDescent="0.25">
      <c r="C98" s="1479" t="s">
        <v>737</v>
      </c>
      <c r="D98" s="1491">
        <v>2983</v>
      </c>
      <c r="E98" s="1491">
        <v>3000</v>
      </c>
      <c r="F98" s="1491">
        <v>3050</v>
      </c>
      <c r="G98" s="1491">
        <v>3100</v>
      </c>
      <c r="H98" s="1495"/>
    </row>
    <row r="99" spans="3:14" s="1496" customFormat="1" ht="13.15" customHeight="1" thickBot="1" x14ac:dyDescent="0.25">
      <c r="C99" s="1479" t="s">
        <v>736</v>
      </c>
      <c r="D99" s="1481">
        <f>D97/D98</f>
        <v>1.8102581293999328E-2</v>
      </c>
      <c r="E99" s="1481">
        <f>E97/E98</f>
        <v>5.6000000000000001E-2</v>
      </c>
      <c r="F99" s="1481">
        <f>F97/F98</f>
        <v>5.5081967213114758E-2</v>
      </c>
      <c r="G99" s="1481">
        <f>G97/G98</f>
        <v>7.3870967741935481E-2</v>
      </c>
      <c r="H99" s="1498"/>
    </row>
    <row r="100" spans="3:14" ht="13.15" customHeight="1" thickBot="1" x14ac:dyDescent="0.25">
      <c r="C100" s="2527" t="s">
        <v>535</v>
      </c>
      <c r="D100" s="2528"/>
      <c r="E100" s="2528"/>
      <c r="F100" s="2528"/>
      <c r="G100" s="2529"/>
      <c r="H100" s="851"/>
    </row>
    <row r="101" spans="3:14" ht="13.15" customHeight="1" thickBot="1" x14ac:dyDescent="0.25">
      <c r="C101" s="2552" t="s">
        <v>100</v>
      </c>
      <c r="D101" s="2553"/>
      <c r="E101" s="2553"/>
      <c r="F101" s="2553"/>
      <c r="G101" s="2554"/>
      <c r="H101" s="878"/>
    </row>
    <row r="102" spans="3:14" ht="13.15" customHeight="1" thickBot="1" x14ac:dyDescent="0.25">
      <c r="C102" s="850" t="s">
        <v>648</v>
      </c>
      <c r="D102" s="2530" t="s">
        <v>1048</v>
      </c>
      <c r="E102" s="2531"/>
      <c r="F102" s="2531"/>
      <c r="G102" s="2532"/>
      <c r="H102" s="848"/>
    </row>
    <row r="103" spans="3:14" ht="42" customHeight="1" thickBot="1" x14ac:dyDescent="0.25">
      <c r="C103" s="838" t="s">
        <v>10</v>
      </c>
      <c r="D103" s="2546" t="s">
        <v>1056</v>
      </c>
      <c r="E103" s="2547"/>
      <c r="F103" s="2547"/>
      <c r="G103" s="2548"/>
      <c r="H103" s="848"/>
      <c r="J103" s="774" t="s">
        <v>732</v>
      </c>
    </row>
    <row r="104" spans="3:14" ht="13.15" customHeight="1" thickBot="1" x14ac:dyDescent="0.25">
      <c r="C104" s="838" t="s">
        <v>13</v>
      </c>
      <c r="D104" s="2533" t="s">
        <v>733</v>
      </c>
      <c r="E104" s="2534"/>
      <c r="F104" s="2534"/>
      <c r="G104" s="2535"/>
      <c r="H104" s="847">
        <f>H107*2</f>
        <v>140</v>
      </c>
      <c r="I104" s="847">
        <f t="shared" ref="I104:J105" si="9">I107*2</f>
        <v>140</v>
      </c>
      <c r="J104" s="847">
        <f t="shared" si="9"/>
        <v>140</v>
      </c>
    </row>
    <row r="105" spans="3:14" ht="13.15" customHeight="1" x14ac:dyDescent="0.2">
      <c r="C105" s="2536"/>
      <c r="D105" s="828">
        <v>2018</v>
      </c>
      <c r="E105" s="828">
        <v>2019</v>
      </c>
      <c r="F105" s="828">
        <v>2020</v>
      </c>
      <c r="G105" s="828">
        <v>2021</v>
      </c>
      <c r="H105" s="847">
        <f>H108*2</f>
        <v>660000</v>
      </c>
      <c r="I105" s="847">
        <f t="shared" si="9"/>
        <v>660000</v>
      </c>
      <c r="J105" s="847">
        <f t="shared" si="9"/>
        <v>660000</v>
      </c>
    </row>
    <row r="106" spans="3:14" ht="13.15" customHeight="1" thickBot="1" x14ac:dyDescent="0.25">
      <c r="C106" s="2537"/>
      <c r="D106" s="827" t="s">
        <v>6</v>
      </c>
      <c r="E106" s="827" t="s">
        <v>7</v>
      </c>
      <c r="F106" s="827" t="s">
        <v>7</v>
      </c>
      <c r="G106" s="827" t="s">
        <v>7</v>
      </c>
      <c r="H106" s="826"/>
    </row>
    <row r="107" spans="3:14" ht="13.15" customHeight="1" thickBot="1" x14ac:dyDescent="0.25">
      <c r="C107" s="838" t="s">
        <v>9</v>
      </c>
      <c r="D107" s="842">
        <f>'09230_AM_Form 2 Kerk Ligj19-21'!D197-'Formati 2.1 Arsimi Mesem'!D194</f>
        <v>0</v>
      </c>
      <c r="E107" s="842">
        <f>'09230_AM_Form 2 Kerk Ligj19-21'!E197-'Formati 2.1 Arsimi Mesem'!E194</f>
        <v>70</v>
      </c>
      <c r="F107" s="842">
        <f>'09230_AM_Form 2 Kerk Ligj19-21'!F197-'Formati 2.1 Arsimi Mesem'!F194</f>
        <v>70</v>
      </c>
      <c r="G107" s="842">
        <f>'09230_AM_Form 2 Kerk Ligj19-21'!G197-'Formati 2.1 Arsimi Mesem'!G194</f>
        <v>70</v>
      </c>
      <c r="H107" s="864">
        <v>70</v>
      </c>
      <c r="I107" s="774">
        <v>70</v>
      </c>
      <c r="J107" s="774">
        <v>70</v>
      </c>
    </row>
    <row r="108" spans="3:14" ht="13.15" customHeight="1" thickBot="1" x14ac:dyDescent="0.25">
      <c r="C108" s="838" t="s">
        <v>14</v>
      </c>
      <c r="D108" s="842">
        <f>'09230_AM_Form 2 Kerk Ligj19-21'!D198-'Formati 2.1 Arsimi Mesem'!D195</f>
        <v>0</v>
      </c>
      <c r="E108" s="842">
        <f>'09230_AM_Form 2 Kerk Ligj19-21'!E198-'Formati 2.1 Arsimi Mesem'!E195</f>
        <v>330000</v>
      </c>
      <c r="F108" s="842">
        <f>'09230_AM_Form 2 Kerk Ligj19-21'!F198-'Formati 2.1 Arsimi Mesem'!F195</f>
        <v>330000</v>
      </c>
      <c r="G108" s="842">
        <f>'09230_AM_Form 2 Kerk Ligj19-21'!G198-'Formati 2.1 Arsimi Mesem'!G195</f>
        <v>330000</v>
      </c>
      <c r="H108" s="863">
        <v>330000</v>
      </c>
      <c r="I108" s="774">
        <v>330000</v>
      </c>
      <c r="J108" s="774">
        <v>330000</v>
      </c>
    </row>
    <row r="109" spans="3:14" ht="13.15" customHeight="1" thickBot="1" x14ac:dyDescent="0.25">
      <c r="C109" s="838" t="s">
        <v>23</v>
      </c>
      <c r="D109" s="842" t="e">
        <f>D108/D107</f>
        <v>#DIV/0!</v>
      </c>
      <c r="E109" s="1527">
        <f t="shared" ref="E109:G109" si="10">E108/E107</f>
        <v>4714.2857142857147</v>
      </c>
      <c r="F109" s="1527">
        <f t="shared" si="10"/>
        <v>4714.2857142857147</v>
      </c>
      <c r="G109" s="1527">
        <f t="shared" si="10"/>
        <v>4714.2857142857147</v>
      </c>
      <c r="H109" s="863">
        <v>4583.33</v>
      </c>
      <c r="I109" s="774">
        <v>4583.33</v>
      </c>
      <c r="J109" s="774">
        <v>4583.33</v>
      </c>
    </row>
    <row r="110" spans="3:14" ht="13.15" customHeight="1" thickBot="1" x14ac:dyDescent="0.25">
      <c r="C110" s="838" t="s">
        <v>15</v>
      </c>
      <c r="D110" s="862"/>
      <c r="E110" s="862" t="e">
        <f t="shared" ref="E110:G112" si="11">E107/D107-1</f>
        <v>#DIV/0!</v>
      </c>
      <c r="F110" s="862">
        <f t="shared" si="11"/>
        <v>0</v>
      </c>
      <c r="G110" s="862">
        <f t="shared" si="11"/>
        <v>0</v>
      </c>
      <c r="H110" s="861"/>
      <c r="J110" s="839"/>
      <c r="K110" s="839"/>
      <c r="L110" s="839"/>
      <c r="M110" s="839"/>
      <c r="N110" s="839"/>
    </row>
    <row r="111" spans="3:14" ht="13.15" customHeight="1" thickBot="1" x14ac:dyDescent="0.25">
      <c r="C111" s="838" t="s">
        <v>16</v>
      </c>
      <c r="D111" s="862"/>
      <c r="E111" s="862" t="e">
        <f t="shared" si="11"/>
        <v>#DIV/0!</v>
      </c>
      <c r="F111" s="862">
        <f t="shared" si="11"/>
        <v>0</v>
      </c>
      <c r="G111" s="862">
        <f t="shared" si="11"/>
        <v>0</v>
      </c>
      <c r="H111" s="861"/>
    </row>
    <row r="112" spans="3:14" ht="13.15" customHeight="1" thickBot="1" x14ac:dyDescent="0.25">
      <c r="C112" s="838" t="s">
        <v>17</v>
      </c>
      <c r="D112" s="862"/>
      <c r="E112" s="862" t="e">
        <f t="shared" si="11"/>
        <v>#DIV/0!</v>
      </c>
      <c r="F112" s="862">
        <f t="shared" si="11"/>
        <v>0</v>
      </c>
      <c r="G112" s="862">
        <f t="shared" si="11"/>
        <v>0</v>
      </c>
      <c r="H112" s="861"/>
    </row>
    <row r="113" spans="3:14" ht="13.15" customHeight="1" thickBot="1" x14ac:dyDescent="0.25">
      <c r="C113" s="2555" t="s">
        <v>707</v>
      </c>
      <c r="D113" s="2556"/>
      <c r="E113" s="2556"/>
      <c r="F113" s="2556"/>
      <c r="G113" s="2557"/>
      <c r="H113" s="829"/>
    </row>
    <row r="114" spans="3:14" ht="13.15" customHeight="1" x14ac:dyDescent="0.2">
      <c r="C114" s="2536"/>
      <c r="D114" s="828">
        <v>2018</v>
      </c>
      <c r="E114" s="828">
        <v>2019</v>
      </c>
      <c r="F114" s="828">
        <v>2020</v>
      </c>
      <c r="G114" s="828">
        <v>2021</v>
      </c>
      <c r="H114" s="826"/>
    </row>
    <row r="115" spans="3:14" ht="13.15" customHeight="1" thickBot="1" x14ac:dyDescent="0.25">
      <c r="C115" s="2537"/>
      <c r="D115" s="827" t="s">
        <v>6</v>
      </c>
      <c r="E115" s="827" t="s">
        <v>7</v>
      </c>
      <c r="F115" s="827" t="s">
        <v>7</v>
      </c>
      <c r="G115" s="827" t="s">
        <v>7</v>
      </c>
      <c r="H115" s="826"/>
    </row>
    <row r="116" spans="3:14" ht="13.15" customHeight="1" thickBot="1" x14ac:dyDescent="0.25">
      <c r="C116" s="809" t="s">
        <v>104</v>
      </c>
      <c r="D116" s="818"/>
      <c r="E116" s="818"/>
      <c r="F116" s="818"/>
      <c r="G116" s="818"/>
      <c r="H116" s="817"/>
    </row>
    <row r="117" spans="3:14" ht="13.15" customHeight="1" thickBot="1" x14ac:dyDescent="0.25">
      <c r="C117" s="809" t="s">
        <v>105</v>
      </c>
      <c r="D117" s="805">
        <f>D108</f>
        <v>0</v>
      </c>
      <c r="E117" s="805">
        <f>E108</f>
        <v>330000</v>
      </c>
      <c r="F117" s="805">
        <f>F108</f>
        <v>330000</v>
      </c>
      <c r="G117" s="805">
        <f>G108</f>
        <v>330000</v>
      </c>
      <c r="H117" s="816"/>
      <c r="J117" s="774" t="s">
        <v>732</v>
      </c>
    </row>
    <row r="118" spans="3:14" ht="13.15" customHeight="1" thickBot="1" x14ac:dyDescent="0.25">
      <c r="C118" s="830" t="s">
        <v>68</v>
      </c>
      <c r="D118" s="805">
        <f>D117+D116</f>
        <v>0</v>
      </c>
      <c r="E118" s="805">
        <f>E117+E116</f>
        <v>330000</v>
      </c>
      <c r="F118" s="805">
        <f>F117+F116</f>
        <v>330000</v>
      </c>
      <c r="G118" s="805">
        <f>G117+G116</f>
        <v>330000</v>
      </c>
      <c r="H118" s="816"/>
    </row>
    <row r="119" spans="3:14" ht="13.15" customHeight="1" thickBot="1" x14ac:dyDescent="0.25">
      <c r="C119" s="802" t="s">
        <v>70</v>
      </c>
      <c r="D119" s="801">
        <f>D118-D108</f>
        <v>0</v>
      </c>
      <c r="E119" s="801">
        <f>E118-E108</f>
        <v>0</v>
      </c>
      <c r="F119" s="801">
        <f>F118-F108</f>
        <v>0</v>
      </c>
      <c r="G119" s="801">
        <f>G118-G108</f>
        <v>0</v>
      </c>
      <c r="H119" s="800"/>
    </row>
    <row r="120" spans="3:14" ht="13.15" customHeight="1" thickBot="1" x14ac:dyDescent="0.25">
      <c r="C120" s="850" t="s">
        <v>645</v>
      </c>
      <c r="D120" s="2530" t="s">
        <v>731</v>
      </c>
      <c r="E120" s="2531"/>
      <c r="F120" s="2531"/>
      <c r="G120" s="2532"/>
      <c r="H120" s="848"/>
    </row>
    <row r="121" spans="3:14" ht="43.15" customHeight="1" thickBot="1" x14ac:dyDescent="0.25">
      <c r="C121" s="838" t="s">
        <v>10</v>
      </c>
      <c r="D121" s="2530" t="s">
        <v>1049</v>
      </c>
      <c r="E121" s="2531"/>
      <c r="F121" s="2531"/>
      <c r="G121" s="2532"/>
      <c r="H121" s="848"/>
    </row>
    <row r="122" spans="3:14" ht="13.15" customHeight="1" thickBot="1" x14ac:dyDescent="0.25">
      <c r="C122" s="838" t="s">
        <v>13</v>
      </c>
      <c r="D122" s="2533" t="s">
        <v>725</v>
      </c>
      <c r="E122" s="2534"/>
      <c r="F122" s="2534"/>
      <c r="G122" s="2535"/>
      <c r="H122" s="847"/>
    </row>
    <row r="123" spans="3:14" ht="13.15" customHeight="1" x14ac:dyDescent="0.2">
      <c r="C123" s="2536"/>
      <c r="D123" s="828">
        <v>2018</v>
      </c>
      <c r="E123" s="828">
        <v>2019</v>
      </c>
      <c r="F123" s="828">
        <v>2020</v>
      </c>
      <c r="G123" s="828">
        <v>2021</v>
      </c>
      <c r="H123" s="1494">
        <f>H125*1.5</f>
        <v>342</v>
      </c>
      <c r="I123" s="1494">
        <f t="shared" ref="I123:I124" si="12">I125*1.5</f>
        <v>342</v>
      </c>
      <c r="J123" s="1494">
        <f>J125*2</f>
        <v>350</v>
      </c>
    </row>
    <row r="124" spans="3:14" ht="13.15" customHeight="1" thickBot="1" x14ac:dyDescent="0.25">
      <c r="C124" s="2537"/>
      <c r="D124" s="827" t="s">
        <v>6</v>
      </c>
      <c r="E124" s="827" t="s">
        <v>7</v>
      </c>
      <c r="F124" s="827" t="s">
        <v>7</v>
      </c>
      <c r="G124" s="827" t="s">
        <v>7</v>
      </c>
      <c r="H124" s="1494">
        <f>H126*1.5</f>
        <v>1288500</v>
      </c>
      <c r="I124" s="1494">
        <f t="shared" si="12"/>
        <v>1293000</v>
      </c>
      <c r="J124" s="1494">
        <f>J126*2</f>
        <v>1324000</v>
      </c>
    </row>
    <row r="125" spans="3:14" ht="13.15" customHeight="1" thickBot="1" x14ac:dyDescent="0.25">
      <c r="C125" s="838" t="s">
        <v>9</v>
      </c>
      <c r="D125" s="877">
        <f>'09230_AM_Form 2 Kerk Ligj19-21'!D215-'Formati 2.1 Arsimi Mesem'!D212</f>
        <v>0</v>
      </c>
      <c r="E125" s="877">
        <f>'09230_AM_Form 2 Kerk Ligj19-21'!E215-'Formati 2.1 Arsimi Mesem'!E212</f>
        <v>114</v>
      </c>
      <c r="F125" s="877">
        <f>'09230_AM_Form 2 Kerk Ligj19-21'!F215-'Formati 2.1 Arsimi Mesem'!F212</f>
        <v>114</v>
      </c>
      <c r="G125" s="877">
        <f>'09230_AM_Form 2 Kerk Ligj19-21'!G215-'Formati 2.1 Arsimi Mesem'!G212</f>
        <v>175</v>
      </c>
      <c r="H125" s="877">
        <v>228</v>
      </c>
      <c r="I125" s="877">
        <v>228</v>
      </c>
      <c r="J125" s="877">
        <v>175</v>
      </c>
    </row>
    <row r="126" spans="3:14" ht="13.15" customHeight="1" thickBot="1" x14ac:dyDescent="0.25">
      <c r="C126" s="838" t="s">
        <v>14</v>
      </c>
      <c r="D126" s="877">
        <f>'09230_AM_Form 2 Kerk Ligj19-21'!D216-'Formati 2.1 Arsimi Mesem'!D213</f>
        <v>0</v>
      </c>
      <c r="E126" s="877">
        <f>'09230_AM_Form 2 Kerk Ligj19-21'!E216-'Formati 2.1 Arsimi Mesem'!E213</f>
        <v>429500</v>
      </c>
      <c r="F126" s="877">
        <f>'09230_AM_Form 2 Kerk Ligj19-21'!F216-'Formati 2.1 Arsimi Mesem'!F213</f>
        <v>431000</v>
      </c>
      <c r="G126" s="877">
        <f>'09230_AM_Form 2 Kerk Ligj19-21'!G216-'Formati 2.1 Arsimi Mesem'!G213</f>
        <v>662000</v>
      </c>
      <c r="H126" s="877">
        <v>859000</v>
      </c>
      <c r="I126" s="877">
        <v>862000</v>
      </c>
      <c r="J126" s="877">
        <v>662000</v>
      </c>
    </row>
    <row r="127" spans="3:14" ht="13.15" customHeight="1" thickBot="1" x14ac:dyDescent="0.25">
      <c r="C127" s="838" t="s">
        <v>23</v>
      </c>
      <c r="D127" s="877" t="e">
        <f>D126/D125</f>
        <v>#DIV/0!</v>
      </c>
      <c r="E127" s="877">
        <f>E126/E125</f>
        <v>3767.5438596491226</v>
      </c>
      <c r="F127" s="877">
        <f>F126/F125</f>
        <v>3780.7017543859647</v>
      </c>
      <c r="G127" s="877">
        <f>G126/G125</f>
        <v>3782.8571428571427</v>
      </c>
      <c r="H127" s="876"/>
    </row>
    <row r="128" spans="3:14" ht="13.15" customHeight="1" thickBot="1" x14ac:dyDescent="0.25">
      <c r="C128" s="838" t="s">
        <v>15</v>
      </c>
      <c r="D128" s="862"/>
      <c r="E128" s="862" t="e">
        <f t="shared" ref="E128:G130" si="13">E125/D125-1</f>
        <v>#DIV/0!</v>
      </c>
      <c r="F128" s="862">
        <f t="shared" si="13"/>
        <v>0</v>
      </c>
      <c r="G128" s="862">
        <f t="shared" si="13"/>
        <v>0.53508771929824572</v>
      </c>
      <c r="H128" s="861"/>
      <c r="J128" s="839"/>
      <c r="K128" s="839"/>
      <c r="L128" s="839"/>
      <c r="M128" s="839"/>
      <c r="N128" s="839"/>
    </row>
    <row r="129" spans="3:10" ht="13.15" customHeight="1" thickBot="1" x14ac:dyDescent="0.25">
      <c r="C129" s="838" t="s">
        <v>16</v>
      </c>
      <c r="D129" s="862"/>
      <c r="E129" s="862" t="e">
        <f t="shared" si="13"/>
        <v>#DIV/0!</v>
      </c>
      <c r="F129" s="862">
        <f t="shared" si="13"/>
        <v>3.4924330616996624E-3</v>
      </c>
      <c r="G129" s="862">
        <f t="shared" si="13"/>
        <v>0.53596287703016232</v>
      </c>
      <c r="H129" s="861"/>
    </row>
    <row r="130" spans="3:10" ht="13.15" customHeight="1" thickBot="1" x14ac:dyDescent="0.25">
      <c r="C130" s="838" t="s">
        <v>17</v>
      </c>
      <c r="D130" s="862"/>
      <c r="E130" s="862" t="e">
        <f t="shared" si="13"/>
        <v>#DIV/0!</v>
      </c>
      <c r="F130" s="862">
        <f t="shared" si="13"/>
        <v>3.4924330616996624E-3</v>
      </c>
      <c r="G130" s="862">
        <f t="shared" si="13"/>
        <v>5.7010275107716168E-4</v>
      </c>
      <c r="H130" s="861"/>
    </row>
    <row r="131" spans="3:10" ht="13.15" customHeight="1" thickBot="1" x14ac:dyDescent="0.25">
      <c r="C131" s="2555" t="s">
        <v>729</v>
      </c>
      <c r="D131" s="2556"/>
      <c r="E131" s="2556"/>
      <c r="F131" s="2556"/>
      <c r="G131" s="2557"/>
      <c r="H131" s="829"/>
    </row>
    <row r="132" spans="3:10" ht="13.15" customHeight="1" x14ac:dyDescent="0.2">
      <c r="C132" s="2536"/>
      <c r="D132" s="828">
        <v>2018</v>
      </c>
      <c r="E132" s="828">
        <v>2019</v>
      </c>
      <c r="F132" s="828">
        <v>2020</v>
      </c>
      <c r="G132" s="828">
        <v>2021</v>
      </c>
      <c r="H132" s="826"/>
    </row>
    <row r="133" spans="3:10" ht="13.15" customHeight="1" thickBot="1" x14ac:dyDescent="0.25">
      <c r="C133" s="2537"/>
      <c r="D133" s="827" t="s">
        <v>6</v>
      </c>
      <c r="E133" s="827" t="s">
        <v>7</v>
      </c>
      <c r="F133" s="827" t="s">
        <v>7</v>
      </c>
      <c r="G133" s="827" t="s">
        <v>7</v>
      </c>
      <c r="H133" s="826"/>
    </row>
    <row r="134" spans="3:10" ht="13.15" customHeight="1" thickBot="1" x14ac:dyDescent="0.25">
      <c r="C134" s="809" t="s">
        <v>104</v>
      </c>
      <c r="D134" s="818"/>
      <c r="E134" s="818"/>
      <c r="F134" s="818"/>
      <c r="G134" s="818"/>
      <c r="H134" s="817"/>
    </row>
    <row r="135" spans="3:10" ht="13.15" customHeight="1" thickBot="1" x14ac:dyDescent="0.25">
      <c r="C135" s="809" t="s">
        <v>105</v>
      </c>
      <c r="D135" s="805">
        <f>D126</f>
        <v>0</v>
      </c>
      <c r="E135" s="805">
        <f>E126</f>
        <v>429500</v>
      </c>
      <c r="F135" s="805">
        <f>F126</f>
        <v>431000</v>
      </c>
      <c r="G135" s="805">
        <f>G126</f>
        <v>662000</v>
      </c>
      <c r="H135" s="816"/>
    </row>
    <row r="136" spans="3:10" ht="13.15" customHeight="1" thickBot="1" x14ac:dyDescent="0.25">
      <c r="C136" s="830" t="s">
        <v>68</v>
      </c>
      <c r="D136" s="805">
        <f>D135+D134</f>
        <v>0</v>
      </c>
      <c r="E136" s="805">
        <f>E135+E134</f>
        <v>429500</v>
      </c>
      <c r="F136" s="805">
        <f>F135+F134</f>
        <v>431000</v>
      </c>
      <c r="G136" s="805">
        <f>G135+G134</f>
        <v>662000</v>
      </c>
      <c r="H136" s="816"/>
    </row>
    <row r="137" spans="3:10" ht="13.15" customHeight="1" thickBot="1" x14ac:dyDescent="0.25">
      <c r="C137" s="802" t="s">
        <v>70</v>
      </c>
      <c r="D137" s="801">
        <f>D136-D126</f>
        <v>0</v>
      </c>
      <c r="E137" s="801">
        <f>E136-E126</f>
        <v>0</v>
      </c>
      <c r="F137" s="801">
        <f>F136-F126</f>
        <v>0</v>
      </c>
      <c r="G137" s="801">
        <f>G136-G126</f>
        <v>0</v>
      </c>
      <c r="H137" s="800"/>
    </row>
    <row r="138" spans="3:10" ht="17.45" customHeight="1" thickBot="1" x14ac:dyDescent="0.25">
      <c r="C138" s="850" t="s">
        <v>728</v>
      </c>
      <c r="D138" s="2530" t="s">
        <v>1045</v>
      </c>
      <c r="E138" s="2531"/>
      <c r="F138" s="2531"/>
      <c r="G138" s="2532"/>
      <c r="H138" s="848"/>
    </row>
    <row r="139" spans="3:10" ht="26.45" customHeight="1" thickBot="1" x14ac:dyDescent="0.25">
      <c r="C139" s="838" t="s">
        <v>10</v>
      </c>
      <c r="D139" s="2530" t="s">
        <v>726</v>
      </c>
      <c r="E139" s="2531"/>
      <c r="F139" s="2531"/>
      <c r="G139" s="2532"/>
      <c r="H139" s="848"/>
    </row>
    <row r="140" spans="3:10" ht="13.15" customHeight="1" thickBot="1" x14ac:dyDescent="0.25">
      <c r="C140" s="838" t="s">
        <v>13</v>
      </c>
      <c r="D140" s="2533" t="s">
        <v>725</v>
      </c>
      <c r="E140" s="2534"/>
      <c r="F140" s="2534"/>
      <c r="G140" s="2535"/>
      <c r="H140" s="1500">
        <f>H107+H123</f>
        <v>412</v>
      </c>
      <c r="I140" s="1500">
        <f t="shared" ref="I140:J140" si="14">I107+I123</f>
        <v>412</v>
      </c>
      <c r="J140" s="1500">
        <f t="shared" si="14"/>
        <v>420</v>
      </c>
    </row>
    <row r="141" spans="3:10" ht="13.15" customHeight="1" x14ac:dyDescent="0.2">
      <c r="C141" s="2536"/>
      <c r="D141" s="828">
        <v>2018</v>
      </c>
      <c r="E141" s="828">
        <v>2019</v>
      </c>
      <c r="F141" s="828">
        <v>2020</v>
      </c>
      <c r="G141" s="828">
        <v>2021</v>
      </c>
      <c r="H141" s="1494">
        <f>H140*400</f>
        <v>164800</v>
      </c>
      <c r="I141" s="1494">
        <f t="shared" ref="I141:J141" si="15">I140*400</f>
        <v>164800</v>
      </c>
      <c r="J141" s="1494">
        <f t="shared" si="15"/>
        <v>168000</v>
      </c>
    </row>
    <row r="142" spans="3:10" ht="13.15" customHeight="1" thickBot="1" x14ac:dyDescent="0.25">
      <c r="C142" s="2537"/>
      <c r="D142" s="827" t="s">
        <v>6</v>
      </c>
      <c r="E142" s="827" t="s">
        <v>7</v>
      </c>
      <c r="F142" s="827" t="s">
        <v>7</v>
      </c>
      <c r="G142" s="827" t="s">
        <v>7</v>
      </c>
      <c r="H142" s="826">
        <f>H141/H140</f>
        <v>400</v>
      </c>
    </row>
    <row r="143" spans="3:10" ht="13.15" customHeight="1" thickBot="1" x14ac:dyDescent="0.25">
      <c r="C143" s="838" t="s">
        <v>9</v>
      </c>
      <c r="D143" s="842">
        <f>'09230_AM_Form 2 Kerk Ligj19-21'!D233-'Formati 2.1 Arsimi Mesem'!D230</f>
        <v>0</v>
      </c>
      <c r="E143" s="842">
        <f>'09230_AM_Form 2 Kerk Ligj19-21'!E233-'Formati 2.1 Arsimi Mesem'!E230</f>
        <v>302</v>
      </c>
      <c r="F143" s="842">
        <f>'09230_AM_Form 2 Kerk Ligj19-21'!F233-'Formati 2.1 Arsimi Mesem'!F230</f>
        <v>312</v>
      </c>
      <c r="G143" s="842">
        <f>'09230_AM_Form 2 Kerk Ligj19-21'!G233-'Formati 2.1 Arsimi Mesem'!G230</f>
        <v>320</v>
      </c>
      <c r="H143" s="865">
        <v>110</v>
      </c>
      <c r="I143" s="865">
        <v>100</v>
      </c>
      <c r="J143" s="865">
        <v>100</v>
      </c>
    </row>
    <row r="144" spans="3:10" ht="13.15" customHeight="1" thickBot="1" x14ac:dyDescent="0.25">
      <c r="C144" s="838" t="s">
        <v>14</v>
      </c>
      <c r="D144" s="842">
        <f>'09230_AM_Form 2 Kerk Ligj19-21'!D234-'Formati 2.1 Arsimi Mesem'!D240</f>
        <v>0</v>
      </c>
      <c r="E144" s="842">
        <f>'09230_AM_Form 2 Kerk Ligj19-21'!E234-'Formati 2.1 Arsimi Mesem'!E240</f>
        <v>131800</v>
      </c>
      <c r="F144" s="842">
        <f>'09230_AM_Form 2 Kerk Ligj19-21'!F234-'Formati 2.1 Arsimi Mesem'!F240</f>
        <v>134800</v>
      </c>
      <c r="G144" s="842">
        <f>'09230_AM_Form 2 Kerk Ligj19-21'!G234-'Formati 2.1 Arsimi Mesem'!G240</f>
        <v>138000</v>
      </c>
      <c r="H144" s="842">
        <v>33000</v>
      </c>
      <c r="I144" s="842">
        <v>30000</v>
      </c>
      <c r="J144" s="842">
        <v>30000</v>
      </c>
    </row>
    <row r="145" spans="3:14" ht="13.15" customHeight="1" thickBot="1" x14ac:dyDescent="0.25">
      <c r="C145" s="838" t="s">
        <v>23</v>
      </c>
      <c r="D145" s="875" t="e">
        <f>D144/D143</f>
        <v>#DIV/0!</v>
      </c>
      <c r="E145" s="875">
        <f>E144/E143</f>
        <v>436.42384105960264</v>
      </c>
      <c r="F145" s="875">
        <f>F144/F143</f>
        <v>432.05128205128204</v>
      </c>
      <c r="G145" s="875">
        <f>G144/G143</f>
        <v>431.25</v>
      </c>
      <c r="H145" s="874"/>
    </row>
    <row r="146" spans="3:14" ht="13.15" customHeight="1" thickBot="1" x14ac:dyDescent="0.25">
      <c r="C146" s="838" t="s">
        <v>15</v>
      </c>
      <c r="D146" s="862"/>
      <c r="E146" s="862" t="e">
        <f t="shared" ref="E146:G148" si="16">E143/D143-1</f>
        <v>#DIV/0!</v>
      </c>
      <c r="F146" s="862">
        <f t="shared" si="16"/>
        <v>3.3112582781456901E-2</v>
      </c>
      <c r="G146" s="862">
        <f t="shared" si="16"/>
        <v>2.564102564102555E-2</v>
      </c>
      <c r="H146" s="861"/>
      <c r="J146" s="839"/>
      <c r="K146" s="839"/>
      <c r="L146" s="839"/>
      <c r="M146" s="839"/>
      <c r="N146" s="839"/>
    </row>
    <row r="147" spans="3:14" ht="13.15" customHeight="1" thickBot="1" x14ac:dyDescent="0.25">
      <c r="C147" s="838" t="s">
        <v>16</v>
      </c>
      <c r="D147" s="862"/>
      <c r="E147" s="862" t="e">
        <f t="shared" si="16"/>
        <v>#DIV/0!</v>
      </c>
      <c r="F147" s="862">
        <f t="shared" si="16"/>
        <v>2.2761760242792084E-2</v>
      </c>
      <c r="G147" s="862">
        <f t="shared" si="16"/>
        <v>2.3738872403560762E-2</v>
      </c>
      <c r="H147" s="861"/>
    </row>
    <row r="148" spans="3:14" ht="13.15" customHeight="1" thickBot="1" x14ac:dyDescent="0.25">
      <c r="C148" s="838" t="s">
        <v>17</v>
      </c>
      <c r="D148" s="862"/>
      <c r="E148" s="862" t="e">
        <f t="shared" si="16"/>
        <v>#DIV/0!</v>
      </c>
      <c r="F148" s="862">
        <f t="shared" si="16"/>
        <v>-1.0019065406015271E-2</v>
      </c>
      <c r="G148" s="862">
        <f t="shared" si="16"/>
        <v>-1.8545994065282123E-3</v>
      </c>
      <c r="H148" s="861"/>
    </row>
    <row r="149" spans="3:14" ht="13.15" customHeight="1" thickBot="1" x14ac:dyDescent="0.25">
      <c r="C149" s="2555" t="s">
        <v>724</v>
      </c>
      <c r="D149" s="2556"/>
      <c r="E149" s="2556"/>
      <c r="F149" s="2556"/>
      <c r="G149" s="2557"/>
      <c r="H149" s="829"/>
    </row>
    <row r="150" spans="3:14" ht="13.15" customHeight="1" x14ac:dyDescent="0.2">
      <c r="C150" s="2536"/>
      <c r="D150" s="828">
        <v>2018</v>
      </c>
      <c r="E150" s="828">
        <v>2019</v>
      </c>
      <c r="F150" s="828">
        <v>2020</v>
      </c>
      <c r="G150" s="828">
        <v>2021</v>
      </c>
      <c r="H150" s="826"/>
    </row>
    <row r="151" spans="3:14" ht="13.15" customHeight="1" thickBot="1" x14ac:dyDescent="0.25">
      <c r="C151" s="2537"/>
      <c r="D151" s="827" t="s">
        <v>6</v>
      </c>
      <c r="E151" s="827" t="s">
        <v>7</v>
      </c>
      <c r="F151" s="827" t="s">
        <v>7</v>
      </c>
      <c r="G151" s="827" t="s">
        <v>7</v>
      </c>
      <c r="H151" s="826"/>
    </row>
    <row r="152" spans="3:14" ht="13.15" customHeight="1" thickBot="1" x14ac:dyDescent="0.25">
      <c r="C152" s="809" t="s">
        <v>104</v>
      </c>
      <c r="D152" s="818"/>
      <c r="E152" s="818"/>
      <c r="F152" s="818"/>
      <c r="G152" s="818"/>
      <c r="H152" s="817"/>
    </row>
    <row r="153" spans="3:14" ht="13.15" customHeight="1" thickBot="1" x14ac:dyDescent="0.25">
      <c r="C153" s="809" t="s">
        <v>105</v>
      </c>
      <c r="D153" s="805">
        <f>D144</f>
        <v>0</v>
      </c>
      <c r="E153" s="805">
        <f>E144</f>
        <v>131800</v>
      </c>
      <c r="F153" s="805">
        <f>F144</f>
        <v>134800</v>
      </c>
      <c r="G153" s="805">
        <f>G144</f>
        <v>138000</v>
      </c>
      <c r="H153" s="816"/>
    </row>
    <row r="154" spans="3:14" ht="13.15" customHeight="1" thickBot="1" x14ac:dyDescent="0.25">
      <c r="C154" s="830" t="s">
        <v>68</v>
      </c>
      <c r="D154" s="805">
        <f>D153+D152</f>
        <v>0</v>
      </c>
      <c r="E154" s="805">
        <f>E153+E152</f>
        <v>131800</v>
      </c>
      <c r="F154" s="805">
        <f>F153+F152</f>
        <v>134800</v>
      </c>
      <c r="G154" s="805">
        <f>G153+G152</f>
        <v>138000</v>
      </c>
      <c r="H154" s="816"/>
    </row>
    <row r="155" spans="3:14" ht="13.15" customHeight="1" thickBot="1" x14ac:dyDescent="0.25">
      <c r="C155" s="802" t="s">
        <v>70</v>
      </c>
      <c r="D155" s="801">
        <f>D154-D144</f>
        <v>0</v>
      </c>
      <c r="E155" s="801">
        <f>E154-E144</f>
        <v>0</v>
      </c>
      <c r="F155" s="801">
        <f>F154-F144</f>
        <v>0</v>
      </c>
      <c r="G155" s="801">
        <f>G154-G144</f>
        <v>0</v>
      </c>
      <c r="H155" s="800"/>
    </row>
    <row r="156" spans="3:14" ht="13.15" customHeight="1" thickBot="1" x14ac:dyDescent="0.25">
      <c r="C156" s="2555" t="s">
        <v>706</v>
      </c>
      <c r="D156" s="2556"/>
      <c r="E156" s="2556"/>
      <c r="F156" s="2556"/>
      <c r="G156" s="2557"/>
      <c r="H156" s="829"/>
    </row>
    <row r="157" spans="3:14" ht="13.15" customHeight="1" x14ac:dyDescent="0.2">
      <c r="C157" s="2536"/>
      <c r="D157" s="828">
        <v>2018</v>
      </c>
      <c r="E157" s="828">
        <v>2019</v>
      </c>
      <c r="F157" s="828">
        <v>2020</v>
      </c>
      <c r="G157" s="828">
        <v>2021</v>
      </c>
      <c r="H157" s="826"/>
    </row>
    <row r="158" spans="3:14" ht="13.15" customHeight="1" thickBot="1" x14ac:dyDescent="0.25">
      <c r="C158" s="2537"/>
      <c r="D158" s="827" t="s">
        <v>6</v>
      </c>
      <c r="E158" s="827" t="s">
        <v>7</v>
      </c>
      <c r="F158" s="827" t="s">
        <v>7</v>
      </c>
      <c r="G158" s="827" t="s">
        <v>7</v>
      </c>
      <c r="H158" s="826"/>
    </row>
    <row r="159" spans="3:14" ht="24" customHeight="1" thickBot="1" x14ac:dyDescent="0.25">
      <c r="C159" s="825" t="s">
        <v>116</v>
      </c>
      <c r="D159" s="824" t="e">
        <f>D27+#REF!+#REF!+D50+D75+#REF!+D108+D126+D144+#REF!+#REF!+#REF!</f>
        <v>#REF!</v>
      </c>
      <c r="E159" s="824" t="e">
        <f>E27+#REF!+#REF!+E50+E75+#REF!+E108+E126+E144+#REF!+#REF!+#REF!</f>
        <v>#REF!</v>
      </c>
      <c r="F159" s="824" t="e">
        <f>F27+#REF!+#REF!+F50+F75+#REF!+F108+F126+F144+#REF!+#REF!+#REF!</f>
        <v>#REF!</v>
      </c>
      <c r="G159" s="824" t="e">
        <f>G27+#REF!+#REF!+G50+G75+#REF!+G108+G126+G144+#REF!+#REF!+#REF!</f>
        <v>#REF!</v>
      </c>
      <c r="H159" s="823"/>
    </row>
    <row r="160" spans="3:14" ht="25.15" customHeight="1" thickBot="1" x14ac:dyDescent="0.25">
      <c r="C160" s="825" t="s">
        <v>117</v>
      </c>
      <c r="D160" s="824" t="e">
        <f>D42+#REF!+#REF!+D67+D92+#REF!+D118+D136+D154+#REF!+#REF!+#REF!</f>
        <v>#REF!</v>
      </c>
      <c r="E160" s="824" t="e">
        <f>E42+#REF!+#REF!+E67+E92+#REF!+E118+E136+E154+#REF!+#REF!+#REF!</f>
        <v>#REF!</v>
      </c>
      <c r="F160" s="824" t="e">
        <f>F42+#REF!+#REF!+F67+F92+#REF!+F118+F136+F154+#REF!+#REF!+#REF!</f>
        <v>#REF!</v>
      </c>
      <c r="G160" s="824" t="e">
        <f>G42+#REF!+#REF!+G67+G92+#REF!+G118+G136+G154+#REF!+#REF!+#REF!</f>
        <v>#REF!</v>
      </c>
      <c r="H160" s="823"/>
    </row>
    <row r="161" spans="3:13" ht="22.9" customHeight="1" thickBot="1" x14ac:dyDescent="0.25">
      <c r="C161" s="822" t="s">
        <v>24</v>
      </c>
      <c r="D161" s="821"/>
      <c r="E161" s="820" t="e">
        <f>E160/D160-1</f>
        <v>#REF!</v>
      </c>
      <c r="F161" s="820" t="e">
        <f>F160/E160-1</f>
        <v>#REF!</v>
      </c>
      <c r="G161" s="820" t="e">
        <f>G160/F160-1</f>
        <v>#REF!</v>
      </c>
      <c r="H161" s="819"/>
    </row>
    <row r="162" spans="3:13" ht="13.15" customHeight="1" thickBot="1" x14ac:dyDescent="0.25">
      <c r="C162" s="815" t="s">
        <v>0</v>
      </c>
      <c r="D162" s="814" t="e">
        <f>D35+#REF!+#REF!+D58+D83+#REF!</f>
        <v>#REF!</v>
      </c>
      <c r="E162" s="814" t="e">
        <f>E35+#REF!+#REF!+E58+E83+#REF!</f>
        <v>#REF!</v>
      </c>
      <c r="F162" s="814" t="e">
        <f>F35+#REF!+#REF!+F58+F83+#REF!</f>
        <v>#REF!</v>
      </c>
      <c r="G162" s="814" t="e">
        <f>G35+#REF!+#REF!+G58+G83+#REF!</f>
        <v>#REF!</v>
      </c>
      <c r="H162" s="813"/>
    </row>
    <row r="163" spans="3:13" ht="13.15" customHeight="1" thickBot="1" x14ac:dyDescent="0.25">
      <c r="C163" s="806" t="s">
        <v>25</v>
      </c>
      <c r="D163" s="818"/>
      <c r="E163" s="818"/>
      <c r="F163" s="818"/>
      <c r="G163" s="818"/>
      <c r="H163" s="817"/>
    </row>
    <row r="164" spans="3:13" ht="13.15" customHeight="1" thickBot="1" x14ac:dyDescent="0.25">
      <c r="C164" s="815" t="s">
        <v>49</v>
      </c>
      <c r="D164" s="814" t="e">
        <f>D36+#REF!+#REF!+D59+D84+#REF!</f>
        <v>#REF!</v>
      </c>
      <c r="E164" s="814" t="e">
        <f>E36+#REF!+#REF!+E59+E84+#REF!</f>
        <v>#REF!</v>
      </c>
      <c r="F164" s="814" t="e">
        <f>F36+#REF!+#REF!+F59+F84+#REF!</f>
        <v>#REF!</v>
      </c>
      <c r="G164" s="814" t="e">
        <f>G36+#REF!+#REF!+G59+G84+#REF!</f>
        <v>#REF!</v>
      </c>
      <c r="H164" s="813"/>
    </row>
    <row r="165" spans="3:13" ht="13.15" customHeight="1" thickBot="1" x14ac:dyDescent="0.25">
      <c r="C165" s="806" t="s">
        <v>50</v>
      </c>
      <c r="D165" s="805"/>
      <c r="E165" s="804" t="e">
        <f>E164/D164-1</f>
        <v>#REF!</v>
      </c>
      <c r="F165" s="804" t="e">
        <f>F164/E164-1</f>
        <v>#REF!</v>
      </c>
      <c r="G165" s="804" t="e">
        <f>G164/F164-1</f>
        <v>#REF!</v>
      </c>
      <c r="H165" s="803"/>
    </row>
    <row r="166" spans="3:13" ht="13.15" customHeight="1" thickBot="1" x14ac:dyDescent="0.25">
      <c r="C166" s="815" t="s">
        <v>1</v>
      </c>
      <c r="D166" s="814" t="e">
        <f>D37+#REF!+#REF!+D60+D85+#REF!</f>
        <v>#REF!</v>
      </c>
      <c r="E166" s="814" t="e">
        <f>E37+#REF!+#REF!+E60+E85+#REF!</f>
        <v>#REF!</v>
      </c>
      <c r="F166" s="814" t="e">
        <f>F37+#REF!+#REF!+F60+F85+#REF!</f>
        <v>#REF!</v>
      </c>
      <c r="G166" s="814" t="e">
        <f>G37+#REF!+#REF!+G60+G85+#REF!</f>
        <v>#REF!</v>
      </c>
      <c r="H166" s="813"/>
    </row>
    <row r="167" spans="3:13" ht="13.15" customHeight="1" thickBot="1" x14ac:dyDescent="0.25">
      <c r="C167" s="806" t="s">
        <v>26</v>
      </c>
      <c r="D167" s="805"/>
      <c r="E167" s="804" t="e">
        <f>E166/D166-1</f>
        <v>#REF!</v>
      </c>
      <c r="F167" s="804" t="e">
        <f>F166/E166-1</f>
        <v>#REF!</v>
      </c>
      <c r="G167" s="804" t="e">
        <f>G166/F166-1</f>
        <v>#REF!</v>
      </c>
      <c r="H167" s="803"/>
    </row>
    <row r="168" spans="3:13" ht="13.15" customHeight="1" thickBot="1" x14ac:dyDescent="0.25">
      <c r="C168" s="809" t="s">
        <v>2</v>
      </c>
      <c r="D168" s="818">
        <v>0</v>
      </c>
      <c r="E168" s="818">
        <v>0</v>
      </c>
      <c r="F168" s="818">
        <v>0</v>
      </c>
      <c r="G168" s="818">
        <v>0</v>
      </c>
      <c r="H168" s="817"/>
    </row>
    <row r="169" spans="3:13" ht="13.15" customHeight="1" thickBot="1" x14ac:dyDescent="0.25">
      <c r="C169" s="806" t="s">
        <v>27</v>
      </c>
      <c r="D169" s="805"/>
      <c r="E169" s="805"/>
      <c r="F169" s="805"/>
      <c r="G169" s="805"/>
      <c r="H169" s="816"/>
    </row>
    <row r="170" spans="3:13" ht="13.15" customHeight="1" thickBot="1" x14ac:dyDescent="0.25">
      <c r="C170" s="809" t="s">
        <v>28</v>
      </c>
      <c r="D170" s="818">
        <v>0</v>
      </c>
      <c r="E170" s="818">
        <v>0</v>
      </c>
      <c r="F170" s="818">
        <v>0</v>
      </c>
      <c r="G170" s="818">
        <v>0</v>
      </c>
      <c r="H170" s="817"/>
    </row>
    <row r="171" spans="3:13" ht="13.15" customHeight="1" thickBot="1" x14ac:dyDescent="0.25">
      <c r="C171" s="806" t="s">
        <v>29</v>
      </c>
      <c r="D171" s="805"/>
      <c r="E171" s="805"/>
      <c r="F171" s="805"/>
      <c r="G171" s="805"/>
      <c r="H171" s="816"/>
    </row>
    <row r="172" spans="3:13" ht="13.15" customHeight="1" thickBot="1" x14ac:dyDescent="0.25">
      <c r="C172" s="809" t="s">
        <v>30</v>
      </c>
      <c r="D172" s="818">
        <v>0</v>
      </c>
      <c r="E172" s="818">
        <v>0</v>
      </c>
      <c r="F172" s="818">
        <v>0</v>
      </c>
      <c r="G172" s="818">
        <v>0</v>
      </c>
      <c r="H172" s="817"/>
      <c r="I172" s="1459" t="s">
        <v>1040</v>
      </c>
      <c r="J172" s="1460" t="e">
        <f>D162+D164-J178</f>
        <v>#REF!</v>
      </c>
      <c r="K172" s="1460" t="e">
        <f t="shared" ref="K172:M172" si="17">E162+E164-K178</f>
        <v>#REF!</v>
      </c>
      <c r="L172" s="1460" t="e">
        <f t="shared" si="17"/>
        <v>#REF!</v>
      </c>
      <c r="M172" s="1461" t="e">
        <f t="shared" si="17"/>
        <v>#REF!</v>
      </c>
    </row>
    <row r="173" spans="3:13" ht="13.15" customHeight="1" thickBot="1" x14ac:dyDescent="0.25">
      <c r="C173" s="806" t="s">
        <v>31</v>
      </c>
      <c r="D173" s="805"/>
      <c r="E173" s="805"/>
      <c r="F173" s="805"/>
      <c r="G173" s="805"/>
      <c r="H173" s="816"/>
      <c r="I173" s="1462" t="s">
        <v>1041</v>
      </c>
      <c r="J173" s="1463" t="e">
        <f>D166+D174-J179</f>
        <v>#REF!</v>
      </c>
      <c r="K173" s="1463" t="e">
        <f t="shared" ref="K173:M173" si="18">E166+E174-K179</f>
        <v>#REF!</v>
      </c>
      <c r="L173" s="1463" t="e">
        <f t="shared" si="18"/>
        <v>#REF!</v>
      </c>
      <c r="M173" s="1464" t="e">
        <f t="shared" si="18"/>
        <v>#REF!</v>
      </c>
    </row>
    <row r="174" spans="3:13" ht="13.15" customHeight="1" thickBot="1" x14ac:dyDescent="0.25">
      <c r="C174" s="815" t="s">
        <v>3</v>
      </c>
      <c r="D174" s="814">
        <f>D64</f>
        <v>0</v>
      </c>
      <c r="E174" s="814">
        <f>E64</f>
        <v>28800</v>
      </c>
      <c r="F174" s="814">
        <f>F64</f>
        <v>29600</v>
      </c>
      <c r="G174" s="814">
        <f>G64</f>
        <v>30400</v>
      </c>
      <c r="H174" s="813"/>
      <c r="I174" s="1465" t="s">
        <v>96</v>
      </c>
      <c r="J174" s="2585" t="s">
        <v>481</v>
      </c>
      <c r="K174" s="2586"/>
      <c r="L174" s="2586"/>
      <c r="M174" s="2587"/>
    </row>
    <row r="175" spans="3:13" ht="13.15" customHeight="1" thickBot="1" x14ac:dyDescent="0.25">
      <c r="C175" s="806" t="s">
        <v>32</v>
      </c>
      <c r="D175" s="805"/>
      <c r="E175" s="804" t="e">
        <f>E174/D174-1</f>
        <v>#DIV/0!</v>
      </c>
      <c r="F175" s="804">
        <f>F174/E174-1</f>
        <v>2.7777777777777679E-2</v>
      </c>
      <c r="G175" s="804">
        <f>G174/F174-1</f>
        <v>2.7027027027026973E-2</v>
      </c>
      <c r="H175" s="803"/>
      <c r="I175" s="1466"/>
      <c r="J175" s="1467"/>
      <c r="K175" s="1467"/>
      <c r="L175" s="1467"/>
      <c r="M175" s="1468"/>
    </row>
    <row r="176" spans="3:13" ht="13.15" customHeight="1" thickBot="1" x14ac:dyDescent="0.25">
      <c r="C176" s="815" t="s">
        <v>18</v>
      </c>
      <c r="D176" s="814" t="e">
        <f>D116+D134+D152+#REF!+#REF!+#REF!</f>
        <v>#REF!</v>
      </c>
      <c r="E176" s="814" t="e">
        <f>E116+E134+E152+#REF!+#REF!+#REF!</f>
        <v>#REF!</v>
      </c>
      <c r="F176" s="814" t="e">
        <f>F116+F134+F152+#REF!+#REF!+#REF!</f>
        <v>#REF!</v>
      </c>
      <c r="G176" s="814" t="e">
        <f>G116+G134+G152+#REF!+#REF!+#REF!</f>
        <v>#REF!</v>
      </c>
      <c r="H176" s="813"/>
      <c r="I176" s="1469"/>
      <c r="J176" s="812" t="s">
        <v>6</v>
      </c>
      <c r="K176" s="2588" t="s">
        <v>97</v>
      </c>
      <c r="L176" s="2589"/>
      <c r="M176" s="2590"/>
    </row>
    <row r="177" spans="1:13" ht="13.15" customHeight="1" thickBot="1" x14ac:dyDescent="0.25">
      <c r="C177" s="806" t="s">
        <v>33</v>
      </c>
      <c r="D177" s="805"/>
      <c r="E177" s="804">
        <v>0</v>
      </c>
      <c r="F177" s="804">
        <v>0</v>
      </c>
      <c r="G177" s="804">
        <v>0</v>
      </c>
      <c r="H177" s="803"/>
      <c r="I177" s="1465" t="s">
        <v>89</v>
      </c>
      <c r="J177" s="811">
        <v>2018</v>
      </c>
      <c r="K177" s="810">
        <v>2019</v>
      </c>
      <c r="L177" s="810">
        <v>2020</v>
      </c>
      <c r="M177" s="810">
        <v>2021</v>
      </c>
    </row>
    <row r="178" spans="1:13" ht="13.15" customHeight="1" thickBot="1" x14ac:dyDescent="0.25">
      <c r="C178" s="809" t="s">
        <v>19</v>
      </c>
      <c r="D178" s="808" t="e">
        <f>D117+D135+D153+#REF!+#REF!+#REF!</f>
        <v>#REF!</v>
      </c>
      <c r="E178" s="808" t="e">
        <f>E117+E135+E153+#REF!+#REF!+#REF!</f>
        <v>#REF!</v>
      </c>
      <c r="F178" s="808" t="e">
        <f>F117+F135+F153+#REF!+#REF!+#REF!</f>
        <v>#REF!</v>
      </c>
      <c r="G178" s="808" t="e">
        <f>G117+G135+G153+#REF!+#REF!+#REF!</f>
        <v>#REF!</v>
      </c>
      <c r="H178" s="807"/>
      <c r="I178" s="1470" t="s">
        <v>90</v>
      </c>
      <c r="J178" s="799">
        <f>5119517+730000</f>
        <v>5849517</v>
      </c>
      <c r="K178" s="799">
        <f>5119517+730000+90679</f>
        <v>5940196</v>
      </c>
      <c r="L178" s="799">
        <f>5119517+730000+90679+137907</f>
        <v>6078103</v>
      </c>
      <c r="M178" s="799">
        <f>5119517+730000+90679+137907</f>
        <v>6078103</v>
      </c>
    </row>
    <row r="179" spans="1:13" ht="13.15" customHeight="1" thickBot="1" x14ac:dyDescent="0.25">
      <c r="C179" s="806" t="s">
        <v>34</v>
      </c>
      <c r="D179" s="805"/>
      <c r="E179" s="804" t="e">
        <f>E178/D178-1</f>
        <v>#REF!</v>
      </c>
      <c r="F179" s="804" t="e">
        <f>F178/E178-1</f>
        <v>#REF!</v>
      </c>
      <c r="G179" s="804" t="e">
        <f>G178/F178-1</f>
        <v>#REF!</v>
      </c>
      <c r="H179" s="803"/>
      <c r="I179" s="1470" t="s">
        <v>91</v>
      </c>
      <c r="J179" s="796">
        <f>523082+18-300000</f>
        <v>223100</v>
      </c>
      <c r="K179" s="796">
        <v>286847</v>
      </c>
      <c r="L179" s="789">
        <v>321897</v>
      </c>
      <c r="M179" s="789">
        <v>321897</v>
      </c>
    </row>
    <row r="180" spans="1:13" ht="13.15" customHeight="1" thickBot="1" x14ac:dyDescent="0.25">
      <c r="C180" s="802" t="s">
        <v>70</v>
      </c>
      <c r="D180" s="801" t="e">
        <f>D162+D164+D166+D168+D170+D172+D174+D176+D178</f>
        <v>#REF!</v>
      </c>
      <c r="E180" s="801" t="e">
        <f>E162+E164+E166+E168+E170+E172+E174+E176+E178</f>
        <v>#REF!</v>
      </c>
      <c r="F180" s="801" t="e">
        <f>F162+F164+F166+F168+F170+F172+F174+F176+F178</f>
        <v>#REF!</v>
      </c>
      <c r="G180" s="801" t="e">
        <f>G162+G164+G166+G168+G170+G172+G174+G176+G178</f>
        <v>#REF!</v>
      </c>
      <c r="H180" s="800"/>
      <c r="I180" s="1470" t="s">
        <v>92</v>
      </c>
      <c r="J180" s="799">
        <f>870673+151442</f>
        <v>1022115</v>
      </c>
      <c r="K180" s="798">
        <f>800000+462000</f>
        <v>1262000</v>
      </c>
      <c r="L180" s="797">
        <f>800000+462000</f>
        <v>1262000</v>
      </c>
      <c r="M180" s="797">
        <v>1062000</v>
      </c>
    </row>
    <row r="181" spans="1:13" ht="17.45" customHeight="1" thickBot="1" x14ac:dyDescent="0.25">
      <c r="C181" s="795" t="s">
        <v>55</v>
      </c>
      <c r="D181" s="794">
        <v>6548</v>
      </c>
      <c r="E181" s="794">
        <v>6548</v>
      </c>
      <c r="F181" s="794">
        <v>6548</v>
      </c>
      <c r="G181" s="794">
        <v>6548</v>
      </c>
      <c r="H181" s="793"/>
      <c r="I181" s="1470" t="s">
        <v>93</v>
      </c>
      <c r="J181" s="796">
        <v>0</v>
      </c>
      <c r="K181" s="796">
        <v>0</v>
      </c>
      <c r="L181" s="789">
        <v>0</v>
      </c>
      <c r="M181" s="789">
        <v>0</v>
      </c>
    </row>
    <row r="182" spans="1:13" ht="19.899999999999999" customHeight="1" thickBot="1" x14ac:dyDescent="0.25">
      <c r="C182" s="795" t="s">
        <v>705</v>
      </c>
      <c r="D182" s="794">
        <v>300</v>
      </c>
      <c r="E182" s="794">
        <v>300</v>
      </c>
      <c r="F182" s="794">
        <v>300</v>
      </c>
      <c r="G182" s="794">
        <v>300</v>
      </c>
      <c r="H182" s="793"/>
      <c r="I182" s="1470" t="s">
        <v>94</v>
      </c>
      <c r="J182" s="790">
        <v>0</v>
      </c>
      <c r="K182" s="790">
        <v>0</v>
      </c>
      <c r="L182" s="789">
        <v>0</v>
      </c>
      <c r="M182" s="789">
        <v>0</v>
      </c>
    </row>
    <row r="183" spans="1:13" ht="13.15" customHeight="1" thickBot="1" x14ac:dyDescent="0.25">
      <c r="C183" s="792"/>
      <c r="D183" s="1502" t="e">
        <f>D180-'Formati 2.1 Arsimi Mesem'!D340</f>
        <v>#REF!</v>
      </c>
      <c r="E183" s="1502" t="e">
        <f>E180-'Formati 2.1 Arsimi Mesem'!E340</f>
        <v>#REF!</v>
      </c>
      <c r="F183" s="1502" t="e">
        <f>F180-'Formati 2.1 Arsimi Mesem'!F340</f>
        <v>#REF!</v>
      </c>
      <c r="G183" s="1502" t="e">
        <f>G180-'Formati 2.1 Arsimi Mesem'!G340</f>
        <v>#REF!</v>
      </c>
      <c r="H183" s="791"/>
      <c r="I183" s="1470" t="s">
        <v>95</v>
      </c>
      <c r="J183" s="790">
        <f>SUM(J178:J182)</f>
        <v>7094732</v>
      </c>
      <c r="K183" s="790">
        <f>SUM(K178:K182)</f>
        <v>7489043</v>
      </c>
      <c r="L183" s="789">
        <f>SUM(L178:L182)</f>
        <v>7662000</v>
      </c>
      <c r="M183" s="789">
        <f>SUM(M178:M182)</f>
        <v>7462000</v>
      </c>
    </row>
    <row r="184" spans="1:13" s="781" customFormat="1" ht="13.15" customHeight="1" x14ac:dyDescent="0.15">
      <c r="A184" s="2561" t="s">
        <v>122</v>
      </c>
      <c r="B184" s="787" t="s">
        <v>80</v>
      </c>
      <c r="C184" s="788"/>
      <c r="D184" s="2561" t="s">
        <v>83</v>
      </c>
      <c r="E184" s="787" t="s">
        <v>80</v>
      </c>
      <c r="F184" s="2561" t="s">
        <v>118</v>
      </c>
      <c r="G184" s="787" t="s">
        <v>80</v>
      </c>
      <c r="H184" s="782"/>
      <c r="I184" s="1471" t="s">
        <v>972</v>
      </c>
      <c r="J184" s="1472" t="e">
        <f>J183-D180</f>
        <v>#REF!</v>
      </c>
      <c r="K184" s="1472" t="e">
        <f t="shared" ref="K184:M184" si="19">K183-E180</f>
        <v>#REF!</v>
      </c>
      <c r="L184" s="1472" t="e">
        <f t="shared" si="19"/>
        <v>#REF!</v>
      </c>
      <c r="M184" s="1473" t="e">
        <f t="shared" si="19"/>
        <v>#REF!</v>
      </c>
    </row>
    <row r="185" spans="1:13" s="781" customFormat="1" ht="13.15" customHeight="1" x14ac:dyDescent="0.15">
      <c r="A185" s="2562"/>
      <c r="B185" s="785" t="s">
        <v>81</v>
      </c>
      <c r="C185" s="786"/>
      <c r="D185" s="2562"/>
      <c r="E185" s="785" t="s">
        <v>81</v>
      </c>
      <c r="F185" s="2562"/>
      <c r="G185" s="785" t="s">
        <v>81</v>
      </c>
      <c r="H185" s="782"/>
      <c r="I185" s="1474" t="s">
        <v>1042</v>
      </c>
      <c r="J185" s="1475" t="e">
        <f>J180-D178</f>
        <v>#REF!</v>
      </c>
      <c r="K185" s="1475" t="e">
        <f t="shared" ref="K185:M185" si="20">K180-E178</f>
        <v>#REF!</v>
      </c>
      <c r="L185" s="1475" t="e">
        <f t="shared" si="20"/>
        <v>#REF!</v>
      </c>
      <c r="M185" s="1476" t="e">
        <f t="shared" si="20"/>
        <v>#REF!</v>
      </c>
    </row>
    <row r="186" spans="1:13" s="781" customFormat="1" ht="13.15" customHeight="1" thickBot="1" x14ac:dyDescent="0.2">
      <c r="A186" s="2563"/>
      <c r="B186" s="783" t="s">
        <v>82</v>
      </c>
      <c r="C186" s="784"/>
      <c r="D186" s="2563"/>
      <c r="E186" s="783" t="s">
        <v>82</v>
      </c>
      <c r="F186" s="2563"/>
      <c r="G186" s="783" t="s">
        <v>82</v>
      </c>
      <c r="H186" s="782"/>
    </row>
    <row r="187" spans="1:13" ht="13.15" customHeight="1" thickBot="1" x14ac:dyDescent="0.25">
      <c r="A187" s="778"/>
      <c r="B187" s="777"/>
      <c r="C187" s="777"/>
      <c r="D187" s="779"/>
      <c r="E187" s="778"/>
      <c r="F187" s="777"/>
      <c r="G187" s="777"/>
      <c r="H187" s="777"/>
    </row>
    <row r="188" spans="1:13" ht="13.15" customHeight="1" thickBot="1" x14ac:dyDescent="0.25">
      <c r="A188" s="778"/>
      <c r="B188" s="777"/>
      <c r="C188" s="780" t="s">
        <v>86</v>
      </c>
      <c r="D188" s="779"/>
      <c r="E188" s="778"/>
      <c r="F188" s="777"/>
      <c r="G188" s="777"/>
      <c r="H188" s="777"/>
    </row>
    <row r="189" spans="1:13" ht="13.15" customHeight="1" x14ac:dyDescent="0.2">
      <c r="A189" s="778"/>
      <c r="B189" s="777"/>
      <c r="C189" s="2573" t="s">
        <v>123</v>
      </c>
      <c r="D189" s="2574"/>
      <c r="E189" s="2574"/>
      <c r="F189" s="2574"/>
      <c r="G189" s="2575"/>
      <c r="H189" s="1154"/>
    </row>
    <row r="190" spans="1:13" ht="13.15" customHeight="1" x14ac:dyDescent="0.2">
      <c r="A190" s="778"/>
      <c r="B190" s="777"/>
      <c r="C190" s="2576" t="s">
        <v>124</v>
      </c>
      <c r="D190" s="2577"/>
      <c r="E190" s="2577"/>
      <c r="F190" s="2577"/>
      <c r="G190" s="2578"/>
      <c r="H190" s="1155"/>
    </row>
    <row r="191" spans="1:13" ht="13.15" customHeight="1" x14ac:dyDescent="0.2">
      <c r="C191" s="2579" t="s">
        <v>125</v>
      </c>
      <c r="D191" s="2580"/>
      <c r="E191" s="2580"/>
      <c r="F191" s="2580"/>
      <c r="G191" s="2581"/>
      <c r="H191" s="1153"/>
      <c r="I191" s="776"/>
    </row>
    <row r="192" spans="1:13" ht="13.15" customHeight="1" x14ac:dyDescent="0.2">
      <c r="C192" s="2579" t="s">
        <v>126</v>
      </c>
      <c r="D192" s="2580"/>
      <c r="E192" s="2580"/>
      <c r="F192" s="2580"/>
      <c r="G192" s="2581"/>
      <c r="H192" s="1153"/>
      <c r="I192" s="776"/>
    </row>
    <row r="193" spans="3:9" ht="13.15" customHeight="1" x14ac:dyDescent="0.2">
      <c r="C193" s="2579" t="s">
        <v>115</v>
      </c>
      <c r="D193" s="2580"/>
      <c r="E193" s="2580"/>
      <c r="F193" s="2580"/>
      <c r="G193" s="2581"/>
      <c r="H193" s="1153"/>
      <c r="I193" s="775"/>
    </row>
    <row r="194" spans="3:9" ht="13.15" customHeight="1" x14ac:dyDescent="0.2">
      <c r="C194" s="2582" t="s">
        <v>704</v>
      </c>
      <c r="D194" s="2583"/>
      <c r="E194" s="2583"/>
      <c r="F194" s="2583"/>
      <c r="G194" s="2584"/>
      <c r="H194" s="1154"/>
    </row>
    <row r="195" spans="3:9" ht="13.15" customHeight="1" thickBot="1" x14ac:dyDescent="0.25">
      <c r="C195" s="2567" t="s">
        <v>79</v>
      </c>
      <c r="D195" s="2568"/>
      <c r="E195" s="2568"/>
      <c r="F195" s="2568"/>
      <c r="G195" s="2569"/>
      <c r="H195" s="1154"/>
    </row>
  </sheetData>
  <mergeCells count="57">
    <mergeCell ref="C195:G195"/>
    <mergeCell ref="C189:G189"/>
    <mergeCell ref="C190:G190"/>
    <mergeCell ref="C191:G191"/>
    <mergeCell ref="C192:G192"/>
    <mergeCell ref="C193:G193"/>
    <mergeCell ref="C194:G194"/>
    <mergeCell ref="C156:G156"/>
    <mergeCell ref="C157:C158"/>
    <mergeCell ref="J174:M174"/>
    <mergeCell ref="K176:M176"/>
    <mergeCell ref="A184:A186"/>
    <mergeCell ref="D184:D186"/>
    <mergeCell ref="F184:F186"/>
    <mergeCell ref="C141:C142"/>
    <mergeCell ref="C149:G149"/>
    <mergeCell ref="C150:C151"/>
    <mergeCell ref="C123:C124"/>
    <mergeCell ref="C131:G131"/>
    <mergeCell ref="C132:C133"/>
    <mergeCell ref="D138:G138"/>
    <mergeCell ref="D139:G139"/>
    <mergeCell ref="D140:G140"/>
    <mergeCell ref="D122:G122"/>
    <mergeCell ref="C95:G95"/>
    <mergeCell ref="C100:G100"/>
    <mergeCell ref="C101:G101"/>
    <mergeCell ref="D102:G102"/>
    <mergeCell ref="D103:G103"/>
    <mergeCell ref="D104:G104"/>
    <mergeCell ref="C105:C106"/>
    <mergeCell ref="C113:G113"/>
    <mergeCell ref="C114:C115"/>
    <mergeCell ref="D120:G120"/>
    <mergeCell ref="D121:G121"/>
    <mergeCell ref="D94:G94"/>
    <mergeCell ref="C72:C73"/>
    <mergeCell ref="D45:G45"/>
    <mergeCell ref="D46:G46"/>
    <mergeCell ref="C47:C48"/>
    <mergeCell ref="D69:G69"/>
    <mergeCell ref="D70:G70"/>
    <mergeCell ref="D71:G71"/>
    <mergeCell ref="D44:G44"/>
    <mergeCell ref="C20:G20"/>
    <mergeCell ref="D21:G21"/>
    <mergeCell ref="D22:G22"/>
    <mergeCell ref="D23:G23"/>
    <mergeCell ref="C24:C25"/>
    <mergeCell ref="D8:G8"/>
    <mergeCell ref="C9:G9"/>
    <mergeCell ref="C19:G19"/>
    <mergeCell ref="C2:G2"/>
    <mergeCell ref="C3:G3"/>
    <mergeCell ref="D5:G5"/>
    <mergeCell ref="D6:G6"/>
    <mergeCell ref="D7:G7"/>
  </mergeCells>
  <printOptions horizontalCentered="1" verticalCentered="1"/>
  <pageMargins left="7.874015748031496E-2" right="7.874015748031496E-2" top="0.39370078740157483" bottom="0.39370078740157483" header="0.31496062992125984" footer="0.31496062992125984"/>
  <pageSetup scale="81" orientation="portrait" r:id="rId1"/>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56"/>
  <sheetViews>
    <sheetView showGridLines="0" view="pageBreakPreview" zoomScaleNormal="100" zoomScaleSheetLayoutView="100" workbookViewId="0">
      <selection activeCell="C7" sqref="C7:L8"/>
    </sheetView>
  </sheetViews>
  <sheetFormatPr defaultColWidth="11.42578125" defaultRowHeight="35.25" customHeight="1" x14ac:dyDescent="0.2"/>
  <cols>
    <col min="1" max="1" width="5.5703125" style="591" customWidth="1"/>
    <col min="2" max="2" width="3.140625" style="591" customWidth="1"/>
    <col min="3" max="3" width="19.7109375" style="730" customWidth="1"/>
    <col min="4" max="4" width="11.7109375" style="730" customWidth="1"/>
    <col min="5" max="5" width="13.28515625" style="730" customWidth="1"/>
    <col min="6" max="9" width="10.140625" style="730" customWidth="1"/>
    <col min="10" max="10" width="9" style="730" customWidth="1"/>
    <col min="11" max="11" width="8.7109375" style="730" customWidth="1"/>
    <col min="12" max="12" width="9" style="730" customWidth="1"/>
    <col min="13" max="13" width="3.5703125" style="591" customWidth="1"/>
    <col min="14" max="16384" width="11.42578125" style="591"/>
  </cols>
  <sheetData>
    <row r="1" spans="1:13" ht="14.25" customHeight="1" x14ac:dyDescent="0.2">
      <c r="A1" s="616"/>
      <c r="C1" s="757" t="s">
        <v>584</v>
      </c>
      <c r="H1" s="757"/>
    </row>
    <row r="2" spans="1:13" ht="19.5" customHeight="1" x14ac:dyDescent="0.2">
      <c r="C2" s="741" t="s">
        <v>583</v>
      </c>
      <c r="D2" s="756">
        <v>2019</v>
      </c>
    </row>
    <row r="3" spans="1:13" ht="18" customHeight="1" x14ac:dyDescent="0.2">
      <c r="A3" s="755" t="s">
        <v>87</v>
      </c>
      <c r="B3" s="754" t="s">
        <v>180</v>
      </c>
      <c r="C3" s="741" t="s">
        <v>88</v>
      </c>
      <c r="D3" s="737" t="s">
        <v>566</v>
      </c>
      <c r="E3" s="745"/>
      <c r="F3" s="745"/>
      <c r="G3" s="745"/>
      <c r="H3" s="745"/>
      <c r="I3" s="745"/>
      <c r="J3" s="745"/>
      <c r="K3" s="745"/>
      <c r="L3" s="736"/>
    </row>
    <row r="4" spans="1:13" ht="12" customHeight="1" x14ac:dyDescent="0.2">
      <c r="B4" s="610"/>
    </row>
    <row r="5" spans="1:13" ht="16.5" customHeight="1" x14ac:dyDescent="0.2">
      <c r="A5" s="755" t="s">
        <v>4</v>
      </c>
      <c r="B5" s="754" t="s">
        <v>428</v>
      </c>
      <c r="C5" s="741" t="s">
        <v>96</v>
      </c>
      <c r="D5" s="741"/>
      <c r="E5" s="2649" t="s">
        <v>702</v>
      </c>
      <c r="F5" s="2650"/>
      <c r="G5" s="2650"/>
      <c r="H5" s="2650"/>
      <c r="I5" s="2650"/>
      <c r="J5" s="2650"/>
      <c r="K5" s="2650"/>
      <c r="L5" s="2651"/>
    </row>
    <row r="6" spans="1:13" ht="15" customHeight="1" x14ac:dyDescent="0.2">
      <c r="C6" s="741" t="s">
        <v>493</v>
      </c>
      <c r="D6" s="741"/>
    </row>
    <row r="7" spans="1:13" ht="11.45" customHeight="1" x14ac:dyDescent="0.2">
      <c r="C7" s="2640" t="s">
        <v>701</v>
      </c>
      <c r="D7" s="2641"/>
      <c r="E7" s="2641"/>
      <c r="F7" s="2641"/>
      <c r="G7" s="2641"/>
      <c r="H7" s="2641"/>
      <c r="I7" s="2641"/>
      <c r="J7" s="2641"/>
      <c r="K7" s="2641"/>
      <c r="L7" s="2642"/>
    </row>
    <row r="8" spans="1:13" ht="64.150000000000006" customHeight="1" x14ac:dyDescent="0.2">
      <c r="C8" s="2646"/>
      <c r="D8" s="2647"/>
      <c r="E8" s="2647"/>
      <c r="F8" s="2647"/>
      <c r="G8" s="2647"/>
      <c r="H8" s="2647"/>
      <c r="I8" s="2647"/>
      <c r="J8" s="2647"/>
      <c r="K8" s="2647"/>
      <c r="L8" s="2648"/>
    </row>
    <row r="9" spans="1:13" ht="17.45" customHeight="1" x14ac:dyDescent="0.2"/>
    <row r="10" spans="1:13" ht="20.25" customHeight="1" x14ac:dyDescent="0.2">
      <c r="C10" s="742" t="s">
        <v>700</v>
      </c>
      <c r="D10" s="741"/>
      <c r="E10" s="741"/>
    </row>
    <row r="11" spans="1:13" ht="23.25" customHeight="1" x14ac:dyDescent="0.2">
      <c r="C11" s="2640" t="s">
        <v>699</v>
      </c>
      <c r="D11" s="2641"/>
      <c r="E11" s="2641"/>
      <c r="F11" s="2641"/>
      <c r="G11" s="2641"/>
      <c r="H11" s="2641"/>
      <c r="I11" s="2641"/>
      <c r="J11" s="2641"/>
      <c r="K11" s="2641"/>
      <c r="L11" s="2642"/>
    </row>
    <row r="12" spans="1:13" ht="43.15" customHeight="1" x14ac:dyDescent="0.2">
      <c r="C12" s="2646"/>
      <c r="D12" s="2647"/>
      <c r="E12" s="2647"/>
      <c r="F12" s="2647"/>
      <c r="G12" s="2647"/>
      <c r="H12" s="2647"/>
      <c r="I12" s="2647"/>
      <c r="J12" s="2647"/>
      <c r="K12" s="2647"/>
      <c r="L12" s="2648"/>
    </row>
    <row r="13" spans="1:13" ht="21.75" customHeight="1" x14ac:dyDescent="0.2">
      <c r="C13" s="753" t="s">
        <v>137</v>
      </c>
      <c r="D13" s="752"/>
    </row>
    <row r="14" spans="1:13" ht="17.25" customHeight="1" x14ac:dyDescent="0.2">
      <c r="C14" s="2640" t="s">
        <v>698</v>
      </c>
      <c r="D14" s="2641"/>
      <c r="E14" s="2641"/>
      <c r="F14" s="2641"/>
      <c r="G14" s="2641"/>
      <c r="H14" s="2641"/>
      <c r="I14" s="2641"/>
      <c r="J14" s="2641"/>
      <c r="K14" s="2641"/>
      <c r="L14" s="2642"/>
    </row>
    <row r="15" spans="1:13" ht="87.6" customHeight="1" x14ac:dyDescent="0.2">
      <c r="C15" s="2643"/>
      <c r="D15" s="2644"/>
      <c r="E15" s="2644"/>
      <c r="F15" s="2644"/>
      <c r="G15" s="2644"/>
      <c r="H15" s="2644"/>
      <c r="I15" s="2644"/>
      <c r="J15" s="2644"/>
      <c r="K15" s="2644"/>
      <c r="L15" s="2645"/>
    </row>
    <row r="16" spans="1:13" ht="12" customHeight="1" x14ac:dyDescent="0.2">
      <c r="C16" s="751" t="s">
        <v>581</v>
      </c>
      <c r="D16" s="747"/>
      <c r="E16" s="747"/>
      <c r="F16" s="747"/>
      <c r="G16" s="747"/>
      <c r="H16" s="747"/>
      <c r="I16" s="747"/>
      <c r="J16" s="747"/>
      <c r="K16" s="747"/>
      <c r="L16" s="746"/>
      <c r="M16" s="750"/>
    </row>
    <row r="17" spans="3:12" ht="16.149999999999999" customHeight="1" x14ac:dyDescent="0.2">
      <c r="C17" s="749" t="s">
        <v>580</v>
      </c>
      <c r="D17" s="748"/>
      <c r="E17" s="747"/>
      <c r="F17" s="747"/>
      <c r="G17" s="747"/>
      <c r="H17" s="747"/>
      <c r="I17" s="747"/>
      <c r="J17" s="747"/>
      <c r="K17" s="747"/>
      <c r="L17" s="746"/>
    </row>
    <row r="18" spans="3:12" ht="35.25" customHeight="1" x14ac:dyDescent="0.2">
      <c r="C18" s="2640" t="s">
        <v>697</v>
      </c>
      <c r="D18" s="2641"/>
      <c r="E18" s="2641"/>
      <c r="F18" s="2641"/>
      <c r="G18" s="2641"/>
      <c r="H18" s="2641"/>
      <c r="I18" s="2641"/>
      <c r="J18" s="2641"/>
      <c r="K18" s="2641"/>
      <c r="L18" s="2642"/>
    </row>
    <row r="19" spans="3:12" ht="35.25" customHeight="1" x14ac:dyDescent="0.2">
      <c r="C19" s="2643"/>
      <c r="D19" s="2644"/>
      <c r="E19" s="2644"/>
      <c r="F19" s="2644"/>
      <c r="G19" s="2644"/>
      <c r="H19" s="2644"/>
      <c r="I19" s="2644"/>
      <c r="J19" s="2644"/>
      <c r="K19" s="2644"/>
      <c r="L19" s="2645"/>
    </row>
    <row r="20" spans="3:12" ht="35.25" customHeight="1" x14ac:dyDescent="0.2">
      <c r="C20" s="2643"/>
      <c r="D20" s="2644"/>
      <c r="E20" s="2644"/>
      <c r="F20" s="2644"/>
      <c r="G20" s="2644"/>
      <c r="H20" s="2644"/>
      <c r="I20" s="2644"/>
      <c r="J20" s="2644"/>
      <c r="K20" s="2644"/>
      <c r="L20" s="2645"/>
    </row>
    <row r="21" spans="3:12" ht="45.6" customHeight="1" x14ac:dyDescent="0.2">
      <c r="C21" s="2643"/>
      <c r="D21" s="2644"/>
      <c r="E21" s="2644"/>
      <c r="F21" s="2644"/>
      <c r="G21" s="2644"/>
      <c r="H21" s="2644"/>
      <c r="I21" s="2644"/>
      <c r="J21" s="2644"/>
      <c r="K21" s="2644"/>
      <c r="L21" s="2645"/>
    </row>
    <row r="22" spans="3:12" ht="96" customHeight="1" x14ac:dyDescent="0.2">
      <c r="C22" s="2643"/>
      <c r="D22" s="2644"/>
      <c r="E22" s="2644"/>
      <c r="F22" s="2644"/>
      <c r="G22" s="2644"/>
      <c r="H22" s="2644"/>
      <c r="I22" s="2644"/>
      <c r="J22" s="2644"/>
      <c r="K22" s="2644"/>
      <c r="L22" s="2645"/>
    </row>
    <row r="23" spans="3:12" ht="17.45" customHeight="1" x14ac:dyDescent="0.2">
      <c r="C23" s="742" t="s">
        <v>578</v>
      </c>
      <c r="D23" s="745"/>
      <c r="E23" s="745"/>
      <c r="F23" s="745"/>
      <c r="G23" s="745"/>
      <c r="H23" s="745"/>
      <c r="I23" s="745"/>
      <c r="J23" s="745"/>
      <c r="K23" s="745"/>
      <c r="L23" s="736"/>
    </row>
    <row r="24" spans="3:12" ht="35.25" customHeight="1" x14ac:dyDescent="0.2">
      <c r="C24" s="2640" t="s">
        <v>696</v>
      </c>
      <c r="D24" s="2641"/>
      <c r="E24" s="2641"/>
      <c r="F24" s="2641"/>
      <c r="G24" s="2641"/>
      <c r="H24" s="2641"/>
      <c r="I24" s="2641"/>
      <c r="J24" s="2641"/>
      <c r="K24" s="2641"/>
      <c r="L24" s="2642"/>
    </row>
    <row r="25" spans="3:12" ht="35.25" customHeight="1" x14ac:dyDescent="0.2">
      <c r="C25" s="2643"/>
      <c r="D25" s="2644"/>
      <c r="E25" s="2644"/>
      <c r="F25" s="2644"/>
      <c r="G25" s="2644"/>
      <c r="H25" s="2644"/>
      <c r="I25" s="2644"/>
      <c r="J25" s="2644"/>
      <c r="K25" s="2644"/>
      <c r="L25" s="2645"/>
    </row>
    <row r="26" spans="3:12" ht="35.25" customHeight="1" x14ac:dyDescent="0.2">
      <c r="C26" s="2643"/>
      <c r="D26" s="2644"/>
      <c r="E26" s="2644"/>
      <c r="F26" s="2644"/>
      <c r="G26" s="2644"/>
      <c r="H26" s="2644"/>
      <c r="I26" s="2644"/>
      <c r="J26" s="2644"/>
      <c r="K26" s="2644"/>
      <c r="L26" s="2645"/>
    </row>
    <row r="27" spans="3:12" ht="35.25" customHeight="1" x14ac:dyDescent="0.2">
      <c r="C27" s="2643"/>
      <c r="D27" s="2644"/>
      <c r="E27" s="2644"/>
      <c r="F27" s="2644"/>
      <c r="G27" s="2644"/>
      <c r="H27" s="2644"/>
      <c r="I27" s="2644"/>
      <c r="J27" s="2644"/>
      <c r="K27" s="2644"/>
      <c r="L27" s="2645"/>
    </row>
    <row r="28" spans="3:12" ht="35.25" customHeight="1" x14ac:dyDescent="0.2">
      <c r="C28" s="2643"/>
      <c r="D28" s="2644"/>
      <c r="E28" s="2644"/>
      <c r="F28" s="2644"/>
      <c r="G28" s="2644"/>
      <c r="H28" s="2644"/>
      <c r="I28" s="2644"/>
      <c r="J28" s="2644"/>
      <c r="K28" s="2644"/>
      <c r="L28" s="2645"/>
    </row>
    <row r="29" spans="3:12" ht="22.15" customHeight="1" x14ac:dyDescent="0.2">
      <c r="C29" s="2646"/>
      <c r="D29" s="2647"/>
      <c r="E29" s="2647"/>
      <c r="F29" s="2647"/>
      <c r="G29" s="2647"/>
      <c r="H29" s="2647"/>
      <c r="I29" s="2647"/>
      <c r="J29" s="2647"/>
      <c r="K29" s="2647"/>
      <c r="L29" s="2648"/>
    </row>
    <row r="30" spans="3:12" ht="20.25" customHeight="1" x14ac:dyDescent="0.2">
      <c r="C30" s="744" t="s">
        <v>576</v>
      </c>
      <c r="D30" s="743"/>
    </row>
    <row r="31" spans="3:12" ht="30" customHeight="1" x14ac:dyDescent="0.2">
      <c r="C31" s="2640" t="s">
        <v>695</v>
      </c>
      <c r="D31" s="2641"/>
      <c r="E31" s="2641"/>
      <c r="F31" s="2641"/>
      <c r="G31" s="2641"/>
      <c r="H31" s="2641"/>
      <c r="I31" s="2641"/>
      <c r="J31" s="2641"/>
      <c r="K31" s="2641"/>
      <c r="L31" s="2642"/>
    </row>
    <row r="32" spans="3:12" ht="30" customHeight="1" x14ac:dyDescent="0.2">
      <c r="C32" s="2643"/>
      <c r="D32" s="2644"/>
      <c r="E32" s="2644"/>
      <c r="F32" s="2644"/>
      <c r="G32" s="2644"/>
      <c r="H32" s="2644"/>
      <c r="I32" s="2644"/>
      <c r="J32" s="2644"/>
      <c r="K32" s="2644"/>
      <c r="L32" s="2645"/>
    </row>
    <row r="33" spans="3:12" ht="30" customHeight="1" x14ac:dyDescent="0.2">
      <c r="C33" s="2643"/>
      <c r="D33" s="2644"/>
      <c r="E33" s="2644"/>
      <c r="F33" s="2644"/>
      <c r="G33" s="2644"/>
      <c r="H33" s="2644"/>
      <c r="I33" s="2644"/>
      <c r="J33" s="2644"/>
      <c r="K33" s="2644"/>
      <c r="L33" s="2645"/>
    </row>
    <row r="34" spans="3:12" ht="30" customHeight="1" x14ac:dyDescent="0.2">
      <c r="C34" s="2643"/>
      <c r="D34" s="2644"/>
      <c r="E34" s="2644"/>
      <c r="F34" s="2644"/>
      <c r="G34" s="2644"/>
      <c r="H34" s="2644"/>
      <c r="I34" s="2644"/>
      <c r="J34" s="2644"/>
      <c r="K34" s="2644"/>
      <c r="L34" s="2645"/>
    </row>
    <row r="35" spans="3:12" ht="30" customHeight="1" x14ac:dyDescent="0.2">
      <c r="C35" s="2643"/>
      <c r="D35" s="2644"/>
      <c r="E35" s="2644"/>
      <c r="F35" s="2644"/>
      <c r="G35" s="2644"/>
      <c r="H35" s="2644"/>
      <c r="I35" s="2644"/>
      <c r="J35" s="2644"/>
      <c r="K35" s="2644"/>
      <c r="L35" s="2645"/>
    </row>
    <row r="36" spans="3:12" ht="30" customHeight="1" x14ac:dyDescent="0.2">
      <c r="C36" s="2643"/>
      <c r="D36" s="2644"/>
      <c r="E36" s="2644"/>
      <c r="F36" s="2644"/>
      <c r="G36" s="2644"/>
      <c r="H36" s="2644"/>
      <c r="I36" s="2644"/>
      <c r="J36" s="2644"/>
      <c r="K36" s="2644"/>
      <c r="L36" s="2645"/>
    </row>
    <row r="37" spans="3:12" ht="8.4499999999999993" customHeight="1" x14ac:dyDescent="0.2">
      <c r="C37" s="2646"/>
      <c r="D37" s="2647"/>
      <c r="E37" s="2647"/>
      <c r="F37" s="2647"/>
      <c r="G37" s="2647"/>
      <c r="H37" s="2647"/>
      <c r="I37" s="2647"/>
      <c r="J37" s="2647"/>
      <c r="K37" s="2647"/>
      <c r="L37" s="2648"/>
    </row>
    <row r="38" spans="3:12" ht="20.25" customHeight="1" x14ac:dyDescent="0.2">
      <c r="C38" s="744" t="s">
        <v>574</v>
      </c>
      <c r="D38" s="743"/>
    </row>
    <row r="39" spans="3:12" ht="30" customHeight="1" x14ac:dyDescent="0.2">
      <c r="C39" s="2640" t="s">
        <v>694</v>
      </c>
      <c r="D39" s="2641"/>
      <c r="E39" s="2641"/>
      <c r="F39" s="2641"/>
      <c r="G39" s="2641"/>
      <c r="H39" s="2641"/>
      <c r="I39" s="2641"/>
      <c r="J39" s="2641"/>
      <c r="K39" s="2641"/>
      <c r="L39" s="2642"/>
    </row>
    <row r="40" spans="3:12" ht="30" customHeight="1" x14ac:dyDescent="0.2">
      <c r="C40" s="2643"/>
      <c r="D40" s="2644"/>
      <c r="E40" s="2644"/>
      <c r="F40" s="2644"/>
      <c r="G40" s="2644"/>
      <c r="H40" s="2644"/>
      <c r="I40" s="2644"/>
      <c r="J40" s="2644"/>
      <c r="K40" s="2644"/>
      <c r="L40" s="2645"/>
    </row>
    <row r="41" spans="3:12" ht="30" customHeight="1" x14ac:dyDescent="0.2">
      <c r="C41" s="2643"/>
      <c r="D41" s="2644"/>
      <c r="E41" s="2644"/>
      <c r="F41" s="2644"/>
      <c r="G41" s="2644"/>
      <c r="H41" s="2644"/>
      <c r="I41" s="2644"/>
      <c r="J41" s="2644"/>
      <c r="K41" s="2644"/>
      <c r="L41" s="2645"/>
    </row>
    <row r="42" spans="3:12" ht="30" customHeight="1" x14ac:dyDescent="0.2">
      <c r="C42" s="2643"/>
      <c r="D42" s="2644"/>
      <c r="E42" s="2644"/>
      <c r="F42" s="2644"/>
      <c r="G42" s="2644"/>
      <c r="H42" s="2644"/>
      <c r="I42" s="2644"/>
      <c r="J42" s="2644"/>
      <c r="K42" s="2644"/>
      <c r="L42" s="2645"/>
    </row>
    <row r="43" spans="3:12" ht="30" customHeight="1" x14ac:dyDescent="0.2">
      <c r="C43" s="2643"/>
      <c r="D43" s="2644"/>
      <c r="E43" s="2644"/>
      <c r="F43" s="2644"/>
      <c r="G43" s="2644"/>
      <c r="H43" s="2644"/>
      <c r="I43" s="2644"/>
      <c r="J43" s="2644"/>
      <c r="K43" s="2644"/>
      <c r="L43" s="2645"/>
    </row>
    <row r="44" spans="3:12" ht="30" customHeight="1" x14ac:dyDescent="0.2">
      <c r="C44" s="2643"/>
      <c r="D44" s="2644"/>
      <c r="E44" s="2644"/>
      <c r="F44" s="2644"/>
      <c r="G44" s="2644"/>
      <c r="H44" s="2644"/>
      <c r="I44" s="2644"/>
      <c r="J44" s="2644"/>
      <c r="K44" s="2644"/>
      <c r="L44" s="2645"/>
    </row>
    <row r="45" spans="3:12" ht="50.45" customHeight="1" x14ac:dyDescent="0.2">
      <c r="C45" s="2646"/>
      <c r="D45" s="2647"/>
      <c r="E45" s="2647"/>
      <c r="F45" s="2647"/>
      <c r="G45" s="2647"/>
      <c r="H45" s="2647"/>
      <c r="I45" s="2647"/>
      <c r="J45" s="2647"/>
      <c r="K45" s="2647"/>
      <c r="L45" s="2648"/>
    </row>
    <row r="46" spans="3:12" ht="18.75" customHeight="1" x14ac:dyDescent="0.2">
      <c r="C46" s="742" t="s">
        <v>572</v>
      </c>
      <c r="D46" s="741"/>
      <c r="E46" s="741"/>
    </row>
    <row r="47" spans="3:12" ht="25.5" customHeight="1" x14ac:dyDescent="0.2">
      <c r="C47" s="2640" t="s">
        <v>693</v>
      </c>
      <c r="D47" s="2641"/>
      <c r="E47" s="2641"/>
      <c r="F47" s="2641"/>
      <c r="G47" s="2641"/>
      <c r="H47" s="2641"/>
      <c r="I47" s="2641"/>
      <c r="J47" s="2641"/>
      <c r="K47" s="2641"/>
      <c r="L47" s="2642"/>
    </row>
    <row r="48" spans="3:12" ht="25.5" customHeight="1" x14ac:dyDescent="0.2">
      <c r="C48" s="2643"/>
      <c r="D48" s="2644"/>
      <c r="E48" s="2644"/>
      <c r="F48" s="2644"/>
      <c r="G48" s="2644"/>
      <c r="H48" s="2644"/>
      <c r="I48" s="2644"/>
      <c r="J48" s="2644"/>
      <c r="K48" s="2644"/>
      <c r="L48" s="2645"/>
    </row>
    <row r="49" spans="1:12" ht="25.5" customHeight="1" x14ac:dyDescent="0.2">
      <c r="C49" s="2643"/>
      <c r="D49" s="2644"/>
      <c r="E49" s="2644"/>
      <c r="F49" s="2644"/>
      <c r="G49" s="2644"/>
      <c r="H49" s="2644"/>
      <c r="I49" s="2644"/>
      <c r="J49" s="2644"/>
      <c r="K49" s="2644"/>
      <c r="L49" s="2645"/>
    </row>
    <row r="50" spans="1:12" ht="25.5" customHeight="1" x14ac:dyDescent="0.2">
      <c r="C50" s="2643"/>
      <c r="D50" s="2644"/>
      <c r="E50" s="2644"/>
      <c r="F50" s="2644"/>
      <c r="G50" s="2644"/>
      <c r="H50" s="2644"/>
      <c r="I50" s="2644"/>
      <c r="J50" s="2644"/>
      <c r="K50" s="2644"/>
      <c r="L50" s="2645"/>
    </row>
    <row r="51" spans="1:12" ht="49.15" customHeight="1" x14ac:dyDescent="0.2">
      <c r="C51" s="2646"/>
      <c r="D51" s="2647"/>
      <c r="E51" s="2647"/>
      <c r="F51" s="2647"/>
      <c r="G51" s="2647"/>
      <c r="H51" s="2647"/>
      <c r="I51" s="2647"/>
      <c r="J51" s="2647"/>
      <c r="K51" s="2647"/>
      <c r="L51" s="2648"/>
    </row>
    <row r="52" spans="1:12" ht="14.45" customHeight="1" x14ac:dyDescent="0.2">
      <c r="C52" s="740"/>
      <c r="D52" s="740"/>
      <c r="E52" s="740"/>
      <c r="F52" s="740"/>
      <c r="G52" s="740"/>
      <c r="H52" s="740"/>
      <c r="I52" s="740"/>
      <c r="J52" s="740"/>
      <c r="K52" s="740"/>
      <c r="L52" s="740"/>
    </row>
    <row r="53" spans="1:12" ht="14.25" customHeight="1" x14ac:dyDescent="0.2"/>
    <row r="54" spans="1:12" ht="17.25" customHeight="1" x14ac:dyDescent="0.2">
      <c r="A54" s="2634" t="s">
        <v>487</v>
      </c>
      <c r="B54" s="735" t="s">
        <v>80</v>
      </c>
      <c r="C54" s="737"/>
      <c r="D54" s="736"/>
      <c r="E54" s="2637" t="s">
        <v>488</v>
      </c>
      <c r="F54" s="733" t="s">
        <v>80</v>
      </c>
      <c r="G54" s="737"/>
      <c r="H54" s="736"/>
      <c r="I54" s="739"/>
      <c r="J54" s="733" t="s">
        <v>80</v>
      </c>
      <c r="K54" s="737"/>
      <c r="L54" s="736"/>
    </row>
    <row r="55" spans="1:12" ht="17.25" customHeight="1" x14ac:dyDescent="0.2">
      <c r="A55" s="2635"/>
      <c r="B55" s="735" t="s">
        <v>490</v>
      </c>
      <c r="C55" s="737"/>
      <c r="D55" s="736"/>
      <c r="E55" s="2638"/>
      <c r="F55" s="733" t="s">
        <v>490</v>
      </c>
      <c r="G55" s="737"/>
      <c r="H55" s="736"/>
      <c r="I55" s="738" t="s">
        <v>489</v>
      </c>
      <c r="J55" s="733" t="s">
        <v>490</v>
      </c>
      <c r="K55" s="737"/>
      <c r="L55" s="736"/>
    </row>
    <row r="56" spans="1:12" ht="17.25" customHeight="1" x14ac:dyDescent="0.2">
      <c r="A56" s="2636"/>
      <c r="B56" s="735" t="s">
        <v>82</v>
      </c>
      <c r="C56" s="732"/>
      <c r="D56" s="731"/>
      <c r="E56" s="2639"/>
      <c r="F56" s="733" t="s">
        <v>82</v>
      </c>
      <c r="G56" s="732"/>
      <c r="H56" s="731"/>
      <c r="I56" s="734"/>
      <c r="J56" s="733" t="s">
        <v>82</v>
      </c>
      <c r="K56" s="732"/>
      <c r="L56" s="731"/>
    </row>
  </sheetData>
  <mergeCells count="11">
    <mergeCell ref="E5:L5"/>
    <mergeCell ref="C7:L8"/>
    <mergeCell ref="C11:L12"/>
    <mergeCell ref="C14:L15"/>
    <mergeCell ref="C47:L51"/>
    <mergeCell ref="C39:L45"/>
    <mergeCell ref="A54:A56"/>
    <mergeCell ref="E54:E56"/>
    <mergeCell ref="C18:L22"/>
    <mergeCell ref="C24:L29"/>
    <mergeCell ref="C31:L37"/>
  </mergeCells>
  <pageMargins left="0.15748031496062992" right="0.15748031496062992" top="0.39370078740157483" bottom="0.35433070866141736" header="3.937007874015748E-2" footer="0.23622047244094491"/>
  <pageSetup paperSize="9" scale="80" orientation="portrait" horizontalDpi="4294967295" verticalDpi="4294967295" r:id="rId1"/>
  <headerFooter alignWithMargins="0"/>
  <rowBreaks count="1" manualBreakCount="1">
    <brk id="2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O216"/>
  <sheetViews>
    <sheetView topLeftCell="A190" zoomScale="112" zoomScaleNormal="112" workbookViewId="0">
      <selection activeCell="C209" sqref="C209"/>
    </sheetView>
  </sheetViews>
  <sheetFormatPr defaultColWidth="8.85546875" defaultRowHeight="12.6" customHeight="1" x14ac:dyDescent="0.25"/>
  <cols>
    <col min="1" max="1" width="3.28515625" style="930" customWidth="1"/>
    <col min="2" max="2" width="4" style="930" customWidth="1"/>
    <col min="3" max="3" width="57.28515625" style="930" customWidth="1"/>
    <col min="4" max="4" width="15.7109375" style="931" customWidth="1"/>
    <col min="5" max="5" width="18.42578125" style="931" customWidth="1"/>
    <col min="6" max="6" width="19.85546875" style="931" customWidth="1"/>
    <col min="7" max="7" width="18.42578125" style="931" customWidth="1"/>
    <col min="8" max="8" width="11.7109375" style="930" bestFit="1" customWidth="1"/>
    <col min="9" max="9" width="12.140625" style="930" customWidth="1"/>
    <col min="10" max="10" width="11.7109375" style="930" customWidth="1"/>
    <col min="11" max="11" width="12.28515625" style="930" customWidth="1"/>
    <col min="12" max="16384" width="8.85546875" style="930"/>
  </cols>
  <sheetData>
    <row r="2" spans="2:7" ht="12.6" customHeight="1" x14ac:dyDescent="0.25">
      <c r="C2" s="2730" t="s">
        <v>84</v>
      </c>
      <c r="D2" s="2730"/>
      <c r="E2" s="2730"/>
      <c r="F2" s="2730"/>
      <c r="G2" s="2730"/>
    </row>
    <row r="3" spans="2:7" ht="12.6" customHeight="1" x14ac:dyDescent="0.25">
      <c r="B3" s="1137"/>
      <c r="C3" s="2731" t="s">
        <v>950</v>
      </c>
      <c r="D3" s="2731"/>
      <c r="E3" s="2731"/>
      <c r="F3" s="2731"/>
      <c r="G3" s="2731"/>
    </row>
    <row r="4" spans="2:7" ht="12.6" customHeight="1" thickBot="1" x14ac:dyDescent="0.3"/>
    <row r="5" spans="2:7" ht="12.6" customHeight="1" thickBot="1" x14ac:dyDescent="0.3">
      <c r="C5" s="1022" t="s">
        <v>20</v>
      </c>
      <c r="D5" s="2732" t="s">
        <v>818</v>
      </c>
      <c r="E5" s="2732"/>
      <c r="F5" s="2732"/>
      <c r="G5" s="2718"/>
    </row>
    <row r="6" spans="2:7" ht="22.9" customHeight="1" thickBot="1" x14ac:dyDescent="0.3">
      <c r="C6" s="1022" t="s">
        <v>4</v>
      </c>
      <c r="D6" s="2733" t="s">
        <v>428</v>
      </c>
      <c r="E6" s="2734"/>
      <c r="F6" s="2734"/>
      <c r="G6" s="2735"/>
    </row>
    <row r="7" spans="2:7" ht="12.6" customHeight="1" thickBot="1" x14ac:dyDescent="0.3">
      <c r="C7" s="1022" t="s">
        <v>35</v>
      </c>
      <c r="D7" s="2736" t="s">
        <v>5</v>
      </c>
      <c r="E7" s="2737"/>
      <c r="F7" s="2737"/>
      <c r="G7" s="2738"/>
    </row>
    <row r="8" spans="2:7" ht="12.6" customHeight="1" thickBot="1" x14ac:dyDescent="0.3">
      <c r="C8" s="2727" t="s">
        <v>8</v>
      </c>
      <c r="D8" s="2728"/>
      <c r="E8" s="2728"/>
      <c r="F8" s="2728"/>
      <c r="G8" s="2729"/>
    </row>
    <row r="9" spans="2:7" ht="69" customHeight="1" thickBot="1" x14ac:dyDescent="0.3">
      <c r="C9" s="2680" t="s">
        <v>962</v>
      </c>
      <c r="D9" s="2681"/>
      <c r="E9" s="2681"/>
      <c r="F9" s="2681"/>
      <c r="G9" s="2682"/>
    </row>
    <row r="10" spans="2:7" ht="97.15" customHeight="1" thickBot="1" x14ac:dyDescent="0.3">
      <c r="C10" s="1021" t="s">
        <v>11</v>
      </c>
      <c r="D10" s="2710" t="s">
        <v>961</v>
      </c>
      <c r="E10" s="2711"/>
      <c r="F10" s="2711"/>
      <c r="G10" s="2712"/>
    </row>
    <row r="11" spans="2:7" ht="12.6" customHeight="1" x14ac:dyDescent="0.25">
      <c r="C11" s="2713" t="s">
        <v>119</v>
      </c>
      <c r="D11" s="1020">
        <v>2018</v>
      </c>
      <c r="E11" s="1020">
        <v>2019</v>
      </c>
      <c r="F11" s="1020">
        <v>2020</v>
      </c>
      <c r="G11" s="1020">
        <v>2021</v>
      </c>
    </row>
    <row r="12" spans="2:7" ht="12.6" customHeight="1" thickBot="1" x14ac:dyDescent="0.3">
      <c r="C12" s="2714"/>
      <c r="D12" s="1019" t="s">
        <v>6</v>
      </c>
      <c r="E12" s="1019" t="s">
        <v>7</v>
      </c>
      <c r="F12" s="1019" t="s">
        <v>7</v>
      </c>
      <c r="G12" s="1019" t="s">
        <v>7</v>
      </c>
    </row>
    <row r="13" spans="2:7" s="1202" customFormat="1" ht="13.9" customHeight="1" x14ac:dyDescent="0.25">
      <c r="C13" s="1203" t="s">
        <v>816</v>
      </c>
      <c r="D13" s="1204">
        <v>0.19036735631155918</v>
      </c>
      <c r="E13" s="1204">
        <v>0.18941001005875865</v>
      </c>
      <c r="F13" s="1204">
        <v>0.19244774294517533</v>
      </c>
      <c r="G13" s="1204">
        <v>0.1982338269296994</v>
      </c>
    </row>
    <row r="14" spans="2:7" s="1202" customFormat="1" ht="13.9" customHeight="1" x14ac:dyDescent="0.25">
      <c r="C14" s="1203" t="s">
        <v>687</v>
      </c>
      <c r="D14" s="1223">
        <v>4.427524558290181E-3</v>
      </c>
      <c r="E14" s="1223">
        <v>4.2421606480257459E-3</v>
      </c>
      <c r="F14" s="1223">
        <v>4.201839956561179E-3</v>
      </c>
      <c r="G14" s="1223">
        <v>4.0288060453601985E-3</v>
      </c>
    </row>
    <row r="15" spans="2:7" s="1202" customFormat="1" ht="13.9" customHeight="1" x14ac:dyDescent="0.25">
      <c r="C15" s="1203" t="s">
        <v>686</v>
      </c>
      <c r="D15" s="1204">
        <v>1.4696557218414345E-2</v>
      </c>
      <c r="E15" s="1204">
        <v>1.4218001676759691E-2</v>
      </c>
      <c r="F15" s="1204">
        <v>1.4315209126858531E-2</v>
      </c>
      <c r="G15" s="1204">
        <v>1.4091226683638856E-2</v>
      </c>
    </row>
    <row r="16" spans="2:7" s="1202" customFormat="1" ht="13.9" customHeight="1" x14ac:dyDescent="0.25">
      <c r="C16" s="1203" t="s">
        <v>805</v>
      </c>
      <c r="D16" s="1205">
        <v>7305203</v>
      </c>
      <c r="E16" s="1205">
        <v>7444958</v>
      </c>
      <c r="F16" s="1205">
        <v>7869958</v>
      </c>
      <c r="G16" s="1205">
        <v>8058998</v>
      </c>
    </row>
    <row r="17" spans="3:7" s="1202" customFormat="1" ht="13.9" customHeight="1" x14ac:dyDescent="0.25">
      <c r="C17" s="1206" t="s">
        <v>815</v>
      </c>
      <c r="D17" s="1207">
        <v>0.30115312766308194</v>
      </c>
      <c r="E17" s="1207">
        <v>0.30185411947979601</v>
      </c>
      <c r="F17" s="1207">
        <v>0.30322176847459287</v>
      </c>
      <c r="G17" s="1207">
        <v>0.30966180449648251</v>
      </c>
    </row>
    <row r="18" spans="3:7" s="1202" customFormat="1" ht="13.9" customHeight="1" x14ac:dyDescent="0.25">
      <c r="C18" s="1208" t="s">
        <v>687</v>
      </c>
      <c r="D18" s="1207">
        <v>7.0041570906305157E-3</v>
      </c>
      <c r="E18" s="1207">
        <v>6.7605385095772519E-3</v>
      </c>
      <c r="F18" s="1207">
        <v>6.620443154995331E-3</v>
      </c>
      <c r="G18" s="1207">
        <v>6.2934130329583308E-3</v>
      </c>
    </row>
    <row r="19" spans="3:7" s="1202" customFormat="1" ht="13.9" customHeight="1" x14ac:dyDescent="0.25">
      <c r="C19" s="1208" t="s">
        <v>686</v>
      </c>
      <c r="D19" s="1207">
        <v>2.3249333593525243E-2</v>
      </c>
      <c r="E19" s="1207">
        <v>2.26585826988192E-2</v>
      </c>
      <c r="F19" s="1207">
        <v>2.2555125672563764E-2</v>
      </c>
      <c r="G19" s="1207">
        <v>2.2011958049783533E-2</v>
      </c>
    </row>
    <row r="20" spans="3:7" s="1202" customFormat="1" ht="13.9" customHeight="1" x14ac:dyDescent="0.25">
      <c r="C20" s="1209" t="s">
        <v>804</v>
      </c>
      <c r="D20" s="1210">
        <v>11556523</v>
      </c>
      <c r="E20" s="1210">
        <v>11864691</v>
      </c>
      <c r="F20" s="1210">
        <v>12399951</v>
      </c>
      <c r="G20" s="1210">
        <v>12588991</v>
      </c>
    </row>
    <row r="21" spans="3:7" s="1202" customFormat="1" ht="13.9" customHeight="1" x14ac:dyDescent="0.25">
      <c r="C21" s="1211" t="s">
        <v>814</v>
      </c>
      <c r="D21" s="1212">
        <v>0.31758138701475852</v>
      </c>
      <c r="E21" s="1212">
        <v>0.32653225866567132</v>
      </c>
      <c r="F21" s="1207">
        <v>0.32840883748227123</v>
      </c>
      <c r="G21" s="1207">
        <v>0.3360050917498893</v>
      </c>
    </row>
    <row r="22" spans="3:7" s="1202" customFormat="1" ht="13.9" customHeight="1" x14ac:dyDescent="0.25">
      <c r="C22" s="1226" t="s">
        <v>687</v>
      </c>
      <c r="D22" s="1225">
        <v>7.3862421452260433E-3</v>
      </c>
      <c r="E22" s="1225">
        <v>7.3132475817553584E-3</v>
      </c>
      <c r="F22" s="1224">
        <v>7.1703692353197769E-3</v>
      </c>
      <c r="G22" s="1224">
        <v>6.8288009462372469E-3</v>
      </c>
    </row>
    <row r="23" spans="3:7" s="1202" customFormat="1" ht="13.9" customHeight="1" x14ac:dyDescent="0.25">
      <c r="C23" s="1213" t="s">
        <v>686</v>
      </c>
      <c r="D23" s="1212">
        <v>2.4517612242968279E-2</v>
      </c>
      <c r="E23" s="1212">
        <v>2.4511039304545776E-2</v>
      </c>
      <c r="F23" s="1207">
        <v>2.4428663676281735E-2</v>
      </c>
      <c r="G23" s="1207">
        <v>2.3884540736751551E-2</v>
      </c>
    </row>
    <row r="24" spans="3:7" s="1202" customFormat="1" ht="13.9" customHeight="1" x14ac:dyDescent="0.25">
      <c r="C24" s="1211" t="s">
        <v>813</v>
      </c>
      <c r="D24" s="1214">
        <v>12186945</v>
      </c>
      <c r="E24" s="1214">
        <v>12834691</v>
      </c>
      <c r="F24" s="1215">
        <v>13429951</v>
      </c>
      <c r="G24" s="1215">
        <v>13659951</v>
      </c>
    </row>
    <row r="25" spans="3:7" s="1202" customFormat="1" ht="13.9" customHeight="1" thickBot="1" x14ac:dyDescent="0.3">
      <c r="C25" s="1219" t="s">
        <v>791</v>
      </c>
      <c r="D25" s="1220">
        <v>73347</v>
      </c>
      <c r="E25" s="1220">
        <v>71300</v>
      </c>
      <c r="F25" s="1220">
        <v>69200</v>
      </c>
      <c r="G25" s="1220">
        <v>67100</v>
      </c>
    </row>
    <row r="26" spans="3:7" s="1202" customFormat="1" ht="13.9" customHeight="1" thickBot="1" x14ac:dyDescent="0.3">
      <c r="C26" s="1219" t="s">
        <v>977</v>
      </c>
      <c r="D26" s="1221">
        <f>D33/D25</f>
        <v>99.597843129235002</v>
      </c>
      <c r="E26" s="1221">
        <f>E33/E25</f>
        <v>104.41736325385695</v>
      </c>
      <c r="F26" s="1221">
        <f>F33/F25</f>
        <v>113.72771676300577</v>
      </c>
      <c r="G26" s="1221">
        <f>G33/G25</f>
        <v>120.10429210134129</v>
      </c>
    </row>
    <row r="27" spans="3:7" s="1202" customFormat="1" ht="13.9" customHeight="1" thickBot="1" x14ac:dyDescent="0.3">
      <c r="C27" s="1198" t="s">
        <v>810</v>
      </c>
      <c r="D27" s="1216">
        <v>34208</v>
      </c>
      <c r="E27" s="1216">
        <v>32100</v>
      </c>
      <c r="F27" s="1216">
        <v>31000</v>
      </c>
      <c r="G27" s="1216">
        <v>30000</v>
      </c>
    </row>
    <row r="28" spans="3:7" s="1202" customFormat="1" ht="13.9" customHeight="1" thickBot="1" x14ac:dyDescent="0.3">
      <c r="C28" s="1219" t="s">
        <v>809</v>
      </c>
      <c r="D28" s="1220">
        <v>107555</v>
      </c>
      <c r="E28" s="1220">
        <v>103400</v>
      </c>
      <c r="F28" s="1220">
        <v>100200</v>
      </c>
      <c r="G28" s="1220">
        <v>97100</v>
      </c>
    </row>
    <row r="29" spans="3:7" s="1202" customFormat="1" ht="13.9" customHeight="1" thickBot="1" x14ac:dyDescent="0.3">
      <c r="C29" s="1198" t="s">
        <v>808</v>
      </c>
      <c r="D29" s="1217">
        <f>D34/D28</f>
        <v>107.4475663613965</v>
      </c>
      <c r="E29" s="1217">
        <f>E34/E28</f>
        <v>114.74556092843326</v>
      </c>
      <c r="F29" s="1217">
        <f>F34/F28</f>
        <v>123.75200598802395</v>
      </c>
      <c r="G29" s="1217">
        <f>G34/G28</f>
        <v>129.64975283213181</v>
      </c>
    </row>
    <row r="30" spans="3:7" s="1202" customFormat="1" ht="13.9" customHeight="1" thickBot="1" x14ac:dyDescent="0.3">
      <c r="C30" s="1198" t="s">
        <v>966</v>
      </c>
      <c r="D30" s="1216">
        <v>3600</v>
      </c>
      <c r="E30" s="1216">
        <v>3700</v>
      </c>
      <c r="F30" s="1216">
        <v>3800</v>
      </c>
      <c r="G30" s="1216">
        <v>3900</v>
      </c>
    </row>
    <row r="31" spans="3:7" s="1202" customFormat="1" ht="13.9" customHeight="1" thickBot="1" x14ac:dyDescent="0.3">
      <c r="C31" s="1198" t="s">
        <v>806</v>
      </c>
      <c r="D31" s="1216">
        <v>4680</v>
      </c>
      <c r="E31" s="1216">
        <v>4810</v>
      </c>
      <c r="F31" s="1216">
        <v>4940</v>
      </c>
      <c r="G31" s="1216">
        <v>5070</v>
      </c>
    </row>
    <row r="32" spans="3:7" s="1202" customFormat="1" ht="13.9" customHeight="1" thickBot="1" x14ac:dyDescent="0.3">
      <c r="C32" s="1198" t="s">
        <v>964</v>
      </c>
      <c r="D32" s="1218">
        <f>D33/D34</f>
        <v>0.63212810635171146</v>
      </c>
      <c r="E32" s="1218">
        <f t="shared" ref="E32:G32" si="0">E33/E34</f>
        <v>0.62748857092022037</v>
      </c>
      <c r="F32" s="1218">
        <f t="shared" si="0"/>
        <v>0.63467654025407039</v>
      </c>
      <c r="G32" s="1218">
        <f t="shared" si="0"/>
        <v>0.64016234502034353</v>
      </c>
    </row>
    <row r="33" spans="3:7" s="1202" customFormat="1" ht="13.9" customHeight="1" thickBot="1" x14ac:dyDescent="0.3">
      <c r="C33" s="1198" t="s">
        <v>967</v>
      </c>
      <c r="D33" s="1205">
        <v>7305203</v>
      </c>
      <c r="E33" s="1205">
        <v>7444958</v>
      </c>
      <c r="F33" s="1205">
        <v>7869958</v>
      </c>
      <c r="G33" s="1205">
        <v>8058998</v>
      </c>
    </row>
    <row r="34" spans="3:7" s="1202" customFormat="1" ht="13.9" customHeight="1" thickBot="1" x14ac:dyDescent="0.3">
      <c r="C34" s="1198" t="s">
        <v>804</v>
      </c>
      <c r="D34" s="1210">
        <v>11556523</v>
      </c>
      <c r="E34" s="1210">
        <v>11864691</v>
      </c>
      <c r="F34" s="1210">
        <v>12399951</v>
      </c>
      <c r="G34" s="1210">
        <v>12588991</v>
      </c>
    </row>
    <row r="35" spans="3:7" s="1202" customFormat="1" ht="13.9" customHeight="1" thickBot="1" x14ac:dyDescent="0.3">
      <c r="C35" s="1198" t="s">
        <v>979</v>
      </c>
      <c r="D35" s="1252">
        <v>107.4475663613965</v>
      </c>
      <c r="E35" s="1252">
        <v>125.86741779497099</v>
      </c>
      <c r="F35" s="1252">
        <v>139.12126746506985</v>
      </c>
      <c r="G35" s="1252">
        <v>155.91133882595264</v>
      </c>
    </row>
    <row r="36" spans="3:7" s="1202" customFormat="1" ht="13.9" customHeight="1" thickBot="1" x14ac:dyDescent="0.3">
      <c r="C36" s="1222" t="s">
        <v>977</v>
      </c>
      <c r="D36" s="1251">
        <f>D38/D25</f>
        <v>99.597843129235002</v>
      </c>
      <c r="E36" s="1251">
        <f t="shared" ref="E36:G36" si="1">E38/E25</f>
        <v>120.54639551192146</v>
      </c>
      <c r="F36" s="1251">
        <f t="shared" si="1"/>
        <v>135.98205202312138</v>
      </c>
      <c r="G36" s="1251">
        <f t="shared" si="1"/>
        <v>158.10727272727271</v>
      </c>
    </row>
    <row r="37" spans="3:7" s="1202" customFormat="1" ht="13.9" customHeight="1" thickBot="1" x14ac:dyDescent="0.3">
      <c r="C37" s="1222" t="s">
        <v>964</v>
      </c>
      <c r="D37" s="1201">
        <f>D38/D39</f>
        <v>0.63212810635171146</v>
      </c>
      <c r="E37" s="1201">
        <f t="shared" ref="E37:G37" si="2">E38/E39</f>
        <v>0.66040430771656433</v>
      </c>
      <c r="F37" s="1201">
        <f t="shared" si="2"/>
        <v>0.67503522788566472</v>
      </c>
      <c r="G37" s="1201">
        <f t="shared" si="2"/>
        <v>0.70077312285871629</v>
      </c>
    </row>
    <row r="38" spans="3:7" s="1202" customFormat="1" ht="13.9" customHeight="1" thickBot="1" x14ac:dyDescent="0.3">
      <c r="C38" s="1222" t="s">
        <v>980</v>
      </c>
      <c r="D38" s="248">
        <f>D203</f>
        <v>7305203</v>
      </c>
      <c r="E38" s="248">
        <f t="shared" ref="E38:G38" si="3">E203</f>
        <v>8594958</v>
      </c>
      <c r="F38" s="248">
        <f t="shared" si="3"/>
        <v>9409958</v>
      </c>
      <c r="G38" s="248">
        <f t="shared" si="3"/>
        <v>10608998</v>
      </c>
    </row>
    <row r="39" spans="3:7" s="1202" customFormat="1" ht="13.9" customHeight="1" thickBot="1" x14ac:dyDescent="0.3">
      <c r="C39" s="1222" t="s">
        <v>981</v>
      </c>
      <c r="D39" s="248">
        <v>11556523</v>
      </c>
      <c r="E39" s="248">
        <v>13014691</v>
      </c>
      <c r="F39" s="248">
        <v>13939951</v>
      </c>
      <c r="G39" s="248">
        <v>15138991</v>
      </c>
    </row>
    <row r="40" spans="3:7" s="978" customFormat="1" ht="42.6" customHeight="1" thickBot="1" x14ac:dyDescent="0.3">
      <c r="C40" s="950" t="s">
        <v>12</v>
      </c>
      <c r="D40" s="2546" t="s">
        <v>963</v>
      </c>
      <c r="E40" s="2547"/>
      <c r="F40" s="2547"/>
      <c r="G40" s="2548"/>
    </row>
    <row r="41" spans="3:7" ht="19.149999999999999" customHeight="1" thickBot="1" x14ac:dyDescent="0.3">
      <c r="C41" s="2715" t="s">
        <v>120</v>
      </c>
      <c r="D41" s="2716"/>
      <c r="E41" s="2716"/>
      <c r="F41" s="2716"/>
      <c r="G41" s="2717"/>
    </row>
    <row r="42" spans="3:7" ht="12.6" customHeight="1" x14ac:dyDescent="0.25">
      <c r="C42" s="1018"/>
      <c r="D42" s="1017">
        <v>2018</v>
      </c>
      <c r="E42" s="1017">
        <v>2019</v>
      </c>
      <c r="F42" s="1017">
        <v>2020</v>
      </c>
      <c r="G42" s="1017">
        <v>2021</v>
      </c>
    </row>
    <row r="43" spans="3:7" ht="12.6" customHeight="1" thickBot="1" x14ac:dyDescent="0.3">
      <c r="C43" s="1179" t="s">
        <v>791</v>
      </c>
      <c r="D43" s="988">
        <v>73347</v>
      </c>
      <c r="E43" s="988">
        <v>71300</v>
      </c>
      <c r="F43" s="988">
        <v>69200</v>
      </c>
      <c r="G43" s="988">
        <v>67100</v>
      </c>
    </row>
    <row r="44" spans="3:7" ht="12.6" customHeight="1" thickBot="1" x14ac:dyDescent="0.3">
      <c r="C44" s="1179" t="s">
        <v>965</v>
      </c>
      <c r="D44" s="1016">
        <f>D51/D43</f>
        <v>99.597843129235002</v>
      </c>
      <c r="E44" s="1016">
        <f>E51/E43</f>
        <v>104.41736325385695</v>
      </c>
      <c r="F44" s="1016">
        <f>F51/F43</f>
        <v>113.72771676300577</v>
      </c>
      <c r="G44" s="1016">
        <f>G51/G43</f>
        <v>120.10429210134129</v>
      </c>
    </row>
    <row r="45" spans="3:7" ht="19.899999999999999" customHeight="1" thickBot="1" x14ac:dyDescent="0.3">
      <c r="C45" s="1179" t="s">
        <v>810</v>
      </c>
      <c r="D45" s="988">
        <v>34208</v>
      </c>
      <c r="E45" s="988">
        <v>32100</v>
      </c>
      <c r="F45" s="988">
        <v>31000</v>
      </c>
      <c r="G45" s="988">
        <v>30000</v>
      </c>
    </row>
    <row r="46" spans="3:7" ht="12.6" customHeight="1" thickBot="1" x14ac:dyDescent="0.3">
      <c r="C46" s="1179" t="s">
        <v>809</v>
      </c>
      <c r="D46" s="988">
        <v>107555</v>
      </c>
      <c r="E46" s="988">
        <v>103400</v>
      </c>
      <c r="F46" s="988">
        <v>100200</v>
      </c>
      <c r="G46" s="988">
        <v>97100</v>
      </c>
    </row>
    <row r="47" spans="3:7" ht="12.6" customHeight="1" thickBot="1" x14ac:dyDescent="0.3">
      <c r="C47" s="1179" t="s">
        <v>808</v>
      </c>
      <c r="D47" s="1016">
        <f>D52/D46</f>
        <v>107.4475663613965</v>
      </c>
      <c r="E47" s="1016">
        <f>E52/E46</f>
        <v>114.74556092843326</v>
      </c>
      <c r="F47" s="1016">
        <f>F52/F46</f>
        <v>123.75200598802395</v>
      </c>
      <c r="G47" s="1016">
        <f>G52/G46</f>
        <v>129.64975283213181</v>
      </c>
    </row>
    <row r="48" spans="3:7" ht="13.15" customHeight="1" thickBot="1" x14ac:dyDescent="0.3">
      <c r="C48" s="1179" t="s">
        <v>966</v>
      </c>
      <c r="D48" s="988">
        <v>3600</v>
      </c>
      <c r="E48" s="988">
        <v>3700</v>
      </c>
      <c r="F48" s="988">
        <v>3800</v>
      </c>
      <c r="G48" s="988">
        <v>3900</v>
      </c>
    </row>
    <row r="49" spans="3:7" ht="22.9" customHeight="1" thickBot="1" x14ac:dyDescent="0.3">
      <c r="C49" s="1179" t="s">
        <v>806</v>
      </c>
      <c r="D49" s="988">
        <v>4680</v>
      </c>
      <c r="E49" s="988">
        <v>4810</v>
      </c>
      <c r="F49" s="988">
        <v>4940</v>
      </c>
      <c r="G49" s="988">
        <v>5070</v>
      </c>
    </row>
    <row r="50" spans="3:7" ht="15.6" customHeight="1" thickBot="1" x14ac:dyDescent="0.3">
      <c r="C50" s="1179" t="s">
        <v>964</v>
      </c>
      <c r="D50" s="1180">
        <f>D51/D52</f>
        <v>0.63212810635171146</v>
      </c>
      <c r="E50" s="1180">
        <f t="shared" ref="E50:G50" si="4">E51/E52</f>
        <v>0.62748857092022037</v>
      </c>
      <c r="F50" s="1180">
        <f t="shared" si="4"/>
        <v>0.63467654025407039</v>
      </c>
      <c r="G50" s="1180">
        <f t="shared" si="4"/>
        <v>0.64016234502034353</v>
      </c>
    </row>
    <row r="51" spans="3:7" ht="12.6" customHeight="1" thickBot="1" x14ac:dyDescent="0.3">
      <c r="C51" s="1179" t="s">
        <v>967</v>
      </c>
      <c r="D51" s="249">
        <v>7305203</v>
      </c>
      <c r="E51" s="249">
        <v>7444958</v>
      </c>
      <c r="F51" s="249">
        <v>7869958</v>
      </c>
      <c r="G51" s="249">
        <v>8058998</v>
      </c>
    </row>
    <row r="52" spans="3:7" ht="12.6" customHeight="1" thickBot="1" x14ac:dyDescent="0.3">
      <c r="C52" s="1179" t="s">
        <v>804</v>
      </c>
      <c r="D52" s="253">
        <v>11556523</v>
      </c>
      <c r="E52" s="253">
        <v>11864691</v>
      </c>
      <c r="F52" s="253">
        <v>12399951</v>
      </c>
      <c r="G52" s="253">
        <v>12588991</v>
      </c>
    </row>
    <row r="53" spans="3:7" ht="54" customHeight="1" thickBot="1" x14ac:dyDescent="0.3">
      <c r="C53" s="1139" t="s">
        <v>10</v>
      </c>
      <c r="D53" s="2680" t="s">
        <v>803</v>
      </c>
      <c r="E53" s="2681"/>
      <c r="F53" s="2681"/>
      <c r="G53" s="2682"/>
    </row>
    <row r="54" spans="3:7" ht="12.6" customHeight="1" thickBot="1" x14ac:dyDescent="0.3">
      <c r="C54" s="1139" t="s">
        <v>13</v>
      </c>
      <c r="D54" s="2718" t="s">
        <v>802</v>
      </c>
      <c r="E54" s="2719"/>
      <c r="F54" s="2719"/>
      <c r="G54" s="2720"/>
    </row>
    <row r="55" spans="3:7" ht="12.6" customHeight="1" x14ac:dyDescent="0.25">
      <c r="C55" s="2686"/>
      <c r="D55" s="1007">
        <v>2018</v>
      </c>
      <c r="E55" s="1007">
        <v>2019</v>
      </c>
      <c r="F55" s="1007">
        <v>2020</v>
      </c>
      <c r="G55" s="1007">
        <v>2021</v>
      </c>
    </row>
    <row r="56" spans="3:7" ht="12.6" customHeight="1" thickBot="1" x14ac:dyDescent="0.3">
      <c r="C56" s="2687"/>
      <c r="D56" s="1015" t="s">
        <v>6</v>
      </c>
      <c r="E56" s="1015" t="s">
        <v>7</v>
      </c>
      <c r="F56" s="1015" t="s">
        <v>7</v>
      </c>
      <c r="G56" s="1015" t="s">
        <v>7</v>
      </c>
    </row>
    <row r="57" spans="3:7" ht="12.6" customHeight="1" thickBot="1" x14ac:dyDescent="0.3">
      <c r="C57" s="1139" t="s">
        <v>9</v>
      </c>
      <c r="D57" s="988">
        <v>73347</v>
      </c>
      <c r="E57" s="988">
        <v>71300</v>
      </c>
      <c r="F57" s="988">
        <v>69200</v>
      </c>
      <c r="G57" s="988">
        <v>67100</v>
      </c>
    </row>
    <row r="58" spans="3:7" ht="12.6" customHeight="1" thickBot="1" x14ac:dyDescent="0.3">
      <c r="C58" s="1139" t="s">
        <v>14</v>
      </c>
      <c r="D58" s="249">
        <v>6071600</v>
      </c>
      <c r="E58" s="249">
        <v>6789958</v>
      </c>
      <c r="F58" s="249">
        <v>7212958</v>
      </c>
      <c r="G58" s="249">
        <v>7900998</v>
      </c>
    </row>
    <row r="59" spans="3:7" ht="12.6" customHeight="1" thickBot="1" x14ac:dyDescent="0.3">
      <c r="C59" s="1139" t="s">
        <v>23</v>
      </c>
      <c r="D59" s="979">
        <f>D58/D57</f>
        <v>82.779118437018553</v>
      </c>
      <c r="E59" s="979">
        <f>E58/E57</f>
        <v>95.230827489481072</v>
      </c>
      <c r="F59" s="979">
        <f>F58/F57</f>
        <v>104.23349710982659</v>
      </c>
      <c r="G59" s="979">
        <f>G58/G57</f>
        <v>117.74959761549925</v>
      </c>
    </row>
    <row r="60" spans="3:7" ht="12.6" customHeight="1" thickBot="1" x14ac:dyDescent="0.3">
      <c r="C60" s="1139" t="s">
        <v>15</v>
      </c>
      <c r="D60" s="999"/>
      <c r="E60" s="998">
        <f t="shared" ref="E60:G61" si="5">E57/D57-1</f>
        <v>-2.7908435246158714E-2</v>
      </c>
      <c r="F60" s="998">
        <f t="shared" si="5"/>
        <v>-2.9453015427770013E-2</v>
      </c>
      <c r="G60" s="998">
        <f t="shared" si="5"/>
        <v>-3.0346820809248554E-2</v>
      </c>
    </row>
    <row r="61" spans="3:7" ht="12.6" customHeight="1" thickBot="1" x14ac:dyDescent="0.3">
      <c r="C61" s="1139" t="s">
        <v>16</v>
      </c>
      <c r="D61" s="999"/>
      <c r="E61" s="998">
        <f t="shared" si="5"/>
        <v>0.11831444759206788</v>
      </c>
      <c r="F61" s="998">
        <f t="shared" si="5"/>
        <v>6.2297881665836607E-2</v>
      </c>
      <c r="G61" s="998">
        <f t="shared" si="5"/>
        <v>9.538943662225674E-2</v>
      </c>
    </row>
    <row r="62" spans="3:7" ht="12.6" customHeight="1" thickBot="1" x14ac:dyDescent="0.3">
      <c r="C62" s="1139" t="s">
        <v>17</v>
      </c>
      <c r="D62" s="999"/>
      <c r="E62" s="998">
        <f>E59/D59-1</f>
        <v>0.1504208946358403</v>
      </c>
      <c r="F62" s="998">
        <f>F59/E59-1</f>
        <v>9.4535245126793788E-2</v>
      </c>
      <c r="G62" s="998">
        <f>G59/F59-1</f>
        <v>0.12967137130044959</v>
      </c>
    </row>
    <row r="63" spans="3:7" ht="12.6" customHeight="1" thickBot="1" x14ac:dyDescent="0.3">
      <c r="C63" s="1140" t="s">
        <v>801</v>
      </c>
      <c r="D63" s="1014"/>
      <c r="E63" s="1014"/>
      <c r="F63" s="1014"/>
      <c r="G63" s="1013"/>
    </row>
    <row r="64" spans="3:7" ht="12.6" customHeight="1" x14ac:dyDescent="0.25">
      <c r="C64" s="1138"/>
      <c r="D64" s="1012">
        <v>2018</v>
      </c>
      <c r="E64" s="1012">
        <v>2019</v>
      </c>
      <c r="F64" s="1012">
        <v>2020</v>
      </c>
      <c r="G64" s="1012">
        <v>2021</v>
      </c>
    </row>
    <row r="65" spans="3:7" ht="12.6" customHeight="1" thickBot="1" x14ac:dyDescent="0.3">
      <c r="C65" s="1139"/>
      <c r="D65" s="1011" t="s">
        <v>6</v>
      </c>
      <c r="E65" s="1011" t="s">
        <v>7</v>
      </c>
      <c r="F65" s="1011" t="s">
        <v>7</v>
      </c>
      <c r="G65" s="1011" t="s">
        <v>7</v>
      </c>
    </row>
    <row r="66" spans="3:7" ht="12.6" customHeight="1" thickBot="1" x14ac:dyDescent="0.3">
      <c r="C66" s="636" t="s">
        <v>0</v>
      </c>
      <c r="D66" s="948">
        <v>59000</v>
      </c>
      <c r="E66" s="948">
        <v>0</v>
      </c>
      <c r="F66" s="948">
        <v>0</v>
      </c>
      <c r="G66" s="948">
        <v>0</v>
      </c>
    </row>
    <row r="67" spans="3:7" ht="12.6" customHeight="1" thickBot="1" x14ac:dyDescent="0.3">
      <c r="C67" s="640" t="s">
        <v>51</v>
      </c>
      <c r="D67" s="948"/>
      <c r="E67" s="948"/>
      <c r="F67" s="948">
        <v>6.2297881665836607E-2</v>
      </c>
      <c r="G67" s="948">
        <v>0.12311731192667419</v>
      </c>
    </row>
    <row r="68" spans="3:7" ht="12.6" customHeight="1" thickBot="1" x14ac:dyDescent="0.3">
      <c r="C68" s="640" t="s">
        <v>107</v>
      </c>
      <c r="D68" s="998">
        <v>0</v>
      </c>
      <c r="E68" s="998">
        <v>0</v>
      </c>
      <c r="F68" s="998">
        <v>0</v>
      </c>
      <c r="G68" s="998">
        <v>0</v>
      </c>
    </row>
    <row r="69" spans="3:7" ht="12.6" customHeight="1" thickBot="1" x14ac:dyDescent="0.3">
      <c r="C69" s="636" t="s">
        <v>49</v>
      </c>
      <c r="D69" s="948">
        <f>3030+3550</f>
        <v>6580</v>
      </c>
      <c r="E69" s="948">
        <v>0</v>
      </c>
      <c r="F69" s="948">
        <v>0</v>
      </c>
      <c r="G69" s="948">
        <v>0</v>
      </c>
    </row>
    <row r="70" spans="3:7" ht="12.6" customHeight="1" thickBot="1" x14ac:dyDescent="0.3">
      <c r="C70" s="640" t="s">
        <v>53</v>
      </c>
      <c r="D70" s="948"/>
      <c r="E70" s="948"/>
      <c r="F70" s="948"/>
      <c r="G70" s="948"/>
    </row>
    <row r="71" spans="3:7" ht="12.6" customHeight="1" thickBot="1" x14ac:dyDescent="0.3">
      <c r="C71" s="640" t="s">
        <v>108</v>
      </c>
      <c r="D71" s="948"/>
      <c r="E71" s="998">
        <v>0</v>
      </c>
      <c r="F71" s="998">
        <v>0</v>
      </c>
      <c r="G71" s="998">
        <v>0</v>
      </c>
    </row>
    <row r="72" spans="3:7" ht="12.6" customHeight="1" thickBot="1" x14ac:dyDescent="0.3">
      <c r="C72" s="636" t="s">
        <v>1</v>
      </c>
      <c r="D72" s="954">
        <v>56020</v>
      </c>
      <c r="E72" s="954">
        <v>0</v>
      </c>
      <c r="F72" s="954">
        <v>0</v>
      </c>
      <c r="G72" s="954">
        <v>0</v>
      </c>
    </row>
    <row r="73" spans="3:7" ht="12.6" customHeight="1" thickBot="1" x14ac:dyDescent="0.3">
      <c r="C73" s="640" t="s">
        <v>56</v>
      </c>
      <c r="D73" s="998">
        <v>0</v>
      </c>
      <c r="E73" s="998">
        <v>0</v>
      </c>
      <c r="F73" s="998">
        <v>0</v>
      </c>
      <c r="G73" s="998">
        <v>0</v>
      </c>
    </row>
    <row r="74" spans="3:7" ht="12.6" customHeight="1" thickBot="1" x14ac:dyDescent="0.3">
      <c r="C74" s="640" t="s">
        <v>109</v>
      </c>
      <c r="D74" s="998">
        <v>0</v>
      </c>
      <c r="E74" s="998">
        <v>0</v>
      </c>
      <c r="F74" s="998">
        <v>0</v>
      </c>
      <c r="G74" s="998">
        <v>0</v>
      </c>
    </row>
    <row r="75" spans="3:7" ht="12.6" customHeight="1" thickBot="1" x14ac:dyDescent="0.3">
      <c r="C75" s="636" t="s">
        <v>2</v>
      </c>
      <c r="D75" s="954">
        <v>0</v>
      </c>
      <c r="E75" s="954">
        <v>0</v>
      </c>
      <c r="F75" s="954">
        <v>0</v>
      </c>
      <c r="G75" s="954">
        <v>0</v>
      </c>
    </row>
    <row r="76" spans="3:7" ht="12.6" customHeight="1" thickBot="1" x14ac:dyDescent="0.3">
      <c r="C76" s="640" t="s">
        <v>58</v>
      </c>
      <c r="D76" s="998">
        <v>0</v>
      </c>
      <c r="E76" s="998">
        <v>0</v>
      </c>
      <c r="F76" s="998">
        <v>0</v>
      </c>
      <c r="G76" s="998">
        <v>0</v>
      </c>
    </row>
    <row r="77" spans="3:7" ht="12.6" customHeight="1" thickBot="1" x14ac:dyDescent="0.3">
      <c r="C77" s="640" t="s">
        <v>110</v>
      </c>
      <c r="D77" s="998">
        <v>0</v>
      </c>
      <c r="E77" s="998">
        <v>0</v>
      </c>
      <c r="F77" s="998">
        <v>0</v>
      </c>
      <c r="G77" s="998">
        <v>0</v>
      </c>
    </row>
    <row r="78" spans="3:7" ht="12.6" customHeight="1" thickBot="1" x14ac:dyDescent="0.3">
      <c r="C78" s="636" t="s">
        <v>28</v>
      </c>
      <c r="D78" s="249">
        <v>5950000</v>
      </c>
      <c r="E78" s="249">
        <f>E58</f>
        <v>6789958</v>
      </c>
      <c r="F78" s="249">
        <f t="shared" ref="F78" si="6">F58</f>
        <v>7212958</v>
      </c>
      <c r="G78" s="249">
        <f>G58</f>
        <v>7900998</v>
      </c>
    </row>
    <row r="79" spans="3:7" ht="12.6" customHeight="1" thickBot="1" x14ac:dyDescent="0.3">
      <c r="C79" s="640" t="s">
        <v>59</v>
      </c>
      <c r="D79" s="998">
        <v>0</v>
      </c>
      <c r="E79" s="998">
        <v>0.1504208946358403</v>
      </c>
      <c r="F79" s="998">
        <v>9.4535245126793788E-2</v>
      </c>
      <c r="G79" s="998">
        <v>0.15826703405850751</v>
      </c>
    </row>
    <row r="80" spans="3:7" ht="12.6" customHeight="1" thickBot="1" x14ac:dyDescent="0.3">
      <c r="C80" s="640" t="s">
        <v>111</v>
      </c>
      <c r="D80" s="998">
        <v>0</v>
      </c>
      <c r="E80" s="998">
        <v>0</v>
      </c>
      <c r="F80" s="998">
        <v>0</v>
      </c>
      <c r="G80" s="998">
        <v>0</v>
      </c>
    </row>
    <row r="81" spans="3:7" ht="12.6" customHeight="1" thickBot="1" x14ac:dyDescent="0.3">
      <c r="C81" s="636" t="s">
        <v>30</v>
      </c>
      <c r="D81" s="954">
        <v>0</v>
      </c>
      <c r="E81" s="954">
        <v>0</v>
      </c>
      <c r="F81" s="954">
        <v>0</v>
      </c>
      <c r="G81" s="954">
        <v>0</v>
      </c>
    </row>
    <row r="82" spans="3:7" ht="12.6" customHeight="1" thickBot="1" x14ac:dyDescent="0.3">
      <c r="C82" s="640" t="s">
        <v>60</v>
      </c>
      <c r="D82" s="954"/>
      <c r="E82" s="954"/>
      <c r="F82" s="954"/>
      <c r="G82" s="954"/>
    </row>
    <row r="83" spans="3:7" ht="12.6" customHeight="1" thickBot="1" x14ac:dyDescent="0.3">
      <c r="C83" s="640" t="s">
        <v>112</v>
      </c>
      <c r="D83" s="954"/>
      <c r="E83" s="954"/>
      <c r="F83" s="954"/>
      <c r="G83" s="954"/>
    </row>
    <row r="84" spans="3:7" ht="12.6" customHeight="1" thickBot="1" x14ac:dyDescent="0.3">
      <c r="C84" s="636" t="s">
        <v>3</v>
      </c>
      <c r="D84" s="957">
        <v>0</v>
      </c>
      <c r="E84" s="957">
        <v>0</v>
      </c>
      <c r="F84" s="957">
        <v>0</v>
      </c>
      <c r="G84" s="957">
        <v>0</v>
      </c>
    </row>
    <row r="85" spans="3:7" ht="12.6" customHeight="1" thickBot="1" x14ac:dyDescent="0.3">
      <c r="C85" s="640" t="s">
        <v>62</v>
      </c>
      <c r="D85" s="957"/>
      <c r="E85" s="957"/>
      <c r="F85" s="957"/>
      <c r="G85" s="957"/>
    </row>
    <row r="86" spans="3:7" ht="12.6" customHeight="1" thickBot="1" x14ac:dyDescent="0.3">
      <c r="C86" s="640" t="s">
        <v>113</v>
      </c>
      <c r="D86" s="957"/>
      <c r="E86" s="957"/>
      <c r="F86" s="957"/>
      <c r="G86" s="957"/>
    </row>
    <row r="87" spans="3:7" ht="12.6" customHeight="1" thickBot="1" x14ac:dyDescent="0.3">
      <c r="C87" s="954" t="s">
        <v>764</v>
      </c>
      <c r="D87" s="954">
        <f>SUM(D66:D84)</f>
        <v>6071600</v>
      </c>
      <c r="E87" s="954">
        <f>SUM(E66:E84)</f>
        <v>6789958.1504208948</v>
      </c>
      <c r="F87" s="954">
        <f>SUM(F66:F84)</f>
        <v>7212958.1568331271</v>
      </c>
      <c r="G87" s="954">
        <f>SUM(G66:G84)</f>
        <v>7900998.2813843461</v>
      </c>
    </row>
    <row r="88" spans="3:7" ht="12.6" customHeight="1" thickBot="1" x14ac:dyDescent="0.3">
      <c r="C88" s="968" t="s">
        <v>70</v>
      </c>
      <c r="D88" s="967">
        <f>D87-D58</f>
        <v>0</v>
      </c>
      <c r="E88" s="967">
        <f>E87-E58</f>
        <v>0.15042089484632015</v>
      </c>
      <c r="F88" s="967">
        <f>F87-F58</f>
        <v>0.15683312714099884</v>
      </c>
      <c r="G88" s="967">
        <f>G87-G58</f>
        <v>0.28138434607535601</v>
      </c>
    </row>
    <row r="89" spans="3:7" s="978" customFormat="1" ht="67.900000000000006" customHeight="1" thickBot="1" x14ac:dyDescent="0.3">
      <c r="C89" s="950" t="s">
        <v>22</v>
      </c>
      <c r="D89" s="2680" t="s">
        <v>800</v>
      </c>
      <c r="E89" s="2681"/>
      <c r="F89" s="2681"/>
      <c r="G89" s="2682"/>
    </row>
    <row r="90" spans="3:7" ht="20.45" customHeight="1" thickBot="1" x14ac:dyDescent="0.3">
      <c r="C90" s="2721" t="s">
        <v>495</v>
      </c>
      <c r="D90" s="2722"/>
      <c r="E90" s="2722"/>
      <c r="F90" s="2722"/>
      <c r="G90" s="2723"/>
    </row>
    <row r="91" spans="3:7" ht="24.6" customHeight="1" x14ac:dyDescent="0.25">
      <c r="C91" s="977"/>
      <c r="D91" s="1010">
        <v>2018</v>
      </c>
      <c r="E91" s="1010">
        <v>2019</v>
      </c>
      <c r="F91" s="1010">
        <v>2020</v>
      </c>
      <c r="G91" s="1010">
        <v>2021</v>
      </c>
    </row>
    <row r="92" spans="3:7" ht="12.6" customHeight="1" x14ac:dyDescent="0.25">
      <c r="C92" s="1181" t="s">
        <v>799</v>
      </c>
      <c r="D92" s="1005">
        <v>36</v>
      </c>
      <c r="E92" s="1005">
        <v>40</v>
      </c>
      <c r="F92" s="1005">
        <v>40</v>
      </c>
      <c r="G92" s="1005">
        <v>40</v>
      </c>
    </row>
    <row r="93" spans="3:7" ht="12.6" customHeight="1" x14ac:dyDescent="0.25">
      <c r="C93" s="1181" t="s">
        <v>798</v>
      </c>
      <c r="D93" s="1005">
        <v>39</v>
      </c>
      <c r="E93" s="1005">
        <v>40</v>
      </c>
      <c r="F93" s="1005">
        <v>40</v>
      </c>
      <c r="G93" s="1005">
        <v>40</v>
      </c>
    </row>
    <row r="94" spans="3:7" ht="12.6" customHeight="1" x14ac:dyDescent="0.25">
      <c r="C94" s="1181" t="s">
        <v>797</v>
      </c>
      <c r="D94" s="1005">
        <v>237</v>
      </c>
      <c r="E94" s="1005">
        <v>350</v>
      </c>
      <c r="F94" s="1004">
        <v>400</v>
      </c>
      <c r="G94" s="1004">
        <v>513</v>
      </c>
    </row>
    <row r="95" spans="3:7" ht="13.15" customHeight="1" x14ac:dyDescent="0.25">
      <c r="C95" s="1181" t="s">
        <v>796</v>
      </c>
      <c r="D95" s="1005">
        <v>1128</v>
      </c>
      <c r="E95" s="1005">
        <v>1300</v>
      </c>
      <c r="F95" s="1004">
        <v>1400</v>
      </c>
      <c r="G95" s="1004">
        <v>1500</v>
      </c>
    </row>
    <row r="96" spans="3:7" ht="12.6" customHeight="1" thickBot="1" x14ac:dyDescent="0.3">
      <c r="C96" s="1009"/>
      <c r="D96" s="1008"/>
      <c r="E96" s="1008"/>
      <c r="F96" s="1008"/>
      <c r="G96" s="1008"/>
    </row>
    <row r="97" spans="3:7" ht="14.45" customHeight="1" thickBot="1" x14ac:dyDescent="0.3">
      <c r="C97" s="975" t="s">
        <v>669</v>
      </c>
      <c r="D97" s="2724"/>
      <c r="E97" s="2725"/>
      <c r="F97" s="2725"/>
      <c r="G97" s="2726"/>
    </row>
    <row r="98" spans="3:7" ht="64.900000000000006" customHeight="1" thickBot="1" x14ac:dyDescent="0.3">
      <c r="C98" s="1139" t="s">
        <v>10</v>
      </c>
      <c r="D98" s="2680" t="s">
        <v>795</v>
      </c>
      <c r="E98" s="2681"/>
      <c r="F98" s="2681"/>
      <c r="G98" s="2682"/>
    </row>
    <row r="99" spans="3:7" ht="12.6" customHeight="1" thickBot="1" x14ac:dyDescent="0.3">
      <c r="C99" s="1139" t="s">
        <v>13</v>
      </c>
      <c r="D99" s="2694" t="s">
        <v>794</v>
      </c>
      <c r="E99" s="2695"/>
      <c r="F99" s="2695"/>
      <c r="G99" s="2696"/>
    </row>
    <row r="100" spans="3:7" ht="12.6" customHeight="1" x14ac:dyDescent="0.25">
      <c r="C100" s="2686"/>
      <c r="D100" s="1007">
        <v>2018</v>
      </c>
      <c r="E100" s="1007">
        <v>2019</v>
      </c>
      <c r="F100" s="1007">
        <v>2020</v>
      </c>
      <c r="G100" s="1007">
        <v>2021</v>
      </c>
    </row>
    <row r="101" spans="3:7" ht="12.6" customHeight="1" thickBot="1" x14ac:dyDescent="0.3">
      <c r="C101" s="2697"/>
      <c r="D101" s="1007" t="s">
        <v>6</v>
      </c>
      <c r="E101" s="1007" t="s">
        <v>7</v>
      </c>
      <c r="F101" s="1007" t="s">
        <v>7</v>
      </c>
      <c r="G101" s="1007" t="s">
        <v>7</v>
      </c>
    </row>
    <row r="102" spans="3:7" ht="12.6" customHeight="1" thickBot="1" x14ac:dyDescent="0.3">
      <c r="C102" s="1006" t="s">
        <v>793</v>
      </c>
      <c r="D102" s="1005">
        <v>237</v>
      </c>
      <c r="E102" s="1005">
        <v>350</v>
      </c>
      <c r="F102" s="1004">
        <v>400</v>
      </c>
      <c r="G102" s="1004">
        <v>513</v>
      </c>
    </row>
    <row r="103" spans="3:7" ht="12.6" customHeight="1" thickBot="1" x14ac:dyDescent="0.3">
      <c r="C103" s="1000" t="s">
        <v>14</v>
      </c>
      <c r="D103" s="1003">
        <v>23603</v>
      </c>
      <c r="E103" s="1002">
        <v>25000</v>
      </c>
      <c r="F103" s="1002">
        <v>27000</v>
      </c>
      <c r="G103" s="1001">
        <v>28000</v>
      </c>
    </row>
    <row r="104" spans="3:7" ht="12.6" customHeight="1" thickBot="1" x14ac:dyDescent="0.3">
      <c r="C104" s="1000" t="s">
        <v>23</v>
      </c>
      <c r="D104" s="979">
        <f>D103/D102</f>
        <v>99.59071729957806</v>
      </c>
      <c r="E104" s="979">
        <f>E103/E102</f>
        <v>71.428571428571431</v>
      </c>
      <c r="F104" s="979">
        <f>F103/F102</f>
        <v>67.5</v>
      </c>
      <c r="G104" s="979">
        <f>G103/G102</f>
        <v>54.580896686159846</v>
      </c>
    </row>
    <row r="105" spans="3:7" ht="12.6" customHeight="1" thickBot="1" x14ac:dyDescent="0.3">
      <c r="C105" s="1000" t="s">
        <v>15</v>
      </c>
      <c r="D105" s="999"/>
      <c r="E105" s="998">
        <f t="shared" ref="E105:G107" si="7">E102/D102-1</f>
        <v>0.47679324894514763</v>
      </c>
      <c r="F105" s="998">
        <f t="shared" si="7"/>
        <v>0.14285714285714279</v>
      </c>
      <c r="G105" s="997">
        <f t="shared" si="7"/>
        <v>0.28249999999999997</v>
      </c>
    </row>
    <row r="106" spans="3:7" ht="12.6" customHeight="1" thickBot="1" x14ac:dyDescent="0.3">
      <c r="C106" s="1000" t="s">
        <v>16</v>
      </c>
      <c r="D106" s="999"/>
      <c r="E106" s="998">
        <f t="shared" si="7"/>
        <v>5.9187391433292325E-2</v>
      </c>
      <c r="F106" s="998">
        <f t="shared" si="7"/>
        <v>8.0000000000000071E-2</v>
      </c>
      <c r="G106" s="997">
        <f t="shared" si="7"/>
        <v>3.7037037037036979E-2</v>
      </c>
    </row>
    <row r="107" spans="3:7" ht="12.6" customHeight="1" thickBot="1" x14ac:dyDescent="0.3">
      <c r="C107" s="996" t="s">
        <v>17</v>
      </c>
      <c r="D107" s="995"/>
      <c r="E107" s="994">
        <f t="shared" si="7"/>
        <v>-0.28277882351517059</v>
      </c>
      <c r="F107" s="994">
        <f t="shared" si="7"/>
        <v>-5.5000000000000049E-2</v>
      </c>
      <c r="G107" s="993">
        <f t="shared" si="7"/>
        <v>-0.19139412316800231</v>
      </c>
    </row>
    <row r="108" spans="3:7" ht="12.6" customHeight="1" thickBot="1" x14ac:dyDescent="0.3">
      <c r="C108" s="992" t="s">
        <v>781</v>
      </c>
      <c r="D108" s="991"/>
      <c r="E108" s="991"/>
      <c r="F108" s="991"/>
      <c r="G108" s="990"/>
    </row>
    <row r="109" spans="3:7" ht="12.6" customHeight="1" x14ac:dyDescent="0.25">
      <c r="C109" s="1138"/>
      <c r="D109" s="971">
        <v>2018</v>
      </c>
      <c r="E109" s="971">
        <v>2019</v>
      </c>
      <c r="F109" s="971">
        <v>2020</v>
      </c>
      <c r="G109" s="971">
        <v>2021</v>
      </c>
    </row>
    <row r="110" spans="3:7" ht="12.6" customHeight="1" thickBot="1" x14ac:dyDescent="0.3">
      <c r="C110" s="1139"/>
      <c r="D110" s="970" t="s">
        <v>6</v>
      </c>
      <c r="E110" s="970" t="s">
        <v>7</v>
      </c>
      <c r="F110" s="970" t="s">
        <v>7</v>
      </c>
      <c r="G110" s="970" t="s">
        <v>7</v>
      </c>
    </row>
    <row r="111" spans="3:7" ht="12.6" customHeight="1" thickBot="1" x14ac:dyDescent="0.3">
      <c r="C111" s="956" t="s">
        <v>0</v>
      </c>
      <c r="D111" s="948">
        <v>15603</v>
      </c>
      <c r="E111" s="948"/>
      <c r="F111" s="948"/>
      <c r="G111" s="948"/>
    </row>
    <row r="112" spans="3:7" ht="12.6" customHeight="1" thickBot="1" x14ac:dyDescent="0.3">
      <c r="C112" s="956" t="s">
        <v>49</v>
      </c>
      <c r="D112" s="948">
        <v>2500</v>
      </c>
      <c r="E112" s="948"/>
      <c r="F112" s="948"/>
      <c r="G112" s="948"/>
    </row>
    <row r="113" spans="3:7" ht="12.6" customHeight="1" thickBot="1" x14ac:dyDescent="0.3">
      <c r="C113" s="956" t="s">
        <v>1</v>
      </c>
      <c r="D113" s="948">
        <v>5500</v>
      </c>
      <c r="E113" s="948"/>
      <c r="F113" s="948"/>
      <c r="G113" s="948"/>
    </row>
    <row r="114" spans="3:7" ht="12.6" customHeight="1" thickBot="1" x14ac:dyDescent="0.3">
      <c r="C114" s="956" t="s">
        <v>2</v>
      </c>
      <c r="D114" s="954">
        <v>0</v>
      </c>
      <c r="E114" s="948"/>
      <c r="F114" s="948"/>
      <c r="G114" s="948"/>
    </row>
    <row r="115" spans="3:7" ht="12.6" customHeight="1" thickBot="1" x14ac:dyDescent="0.3">
      <c r="C115" s="956" t="s">
        <v>28</v>
      </c>
      <c r="D115" s="954">
        <v>0</v>
      </c>
      <c r="E115" s="954">
        <f>E103</f>
        <v>25000</v>
      </c>
      <c r="F115" s="954">
        <f>F103</f>
        <v>27000</v>
      </c>
      <c r="G115" s="954">
        <f>G103</f>
        <v>28000</v>
      </c>
    </row>
    <row r="116" spans="3:7" ht="12.6" customHeight="1" thickBot="1" x14ac:dyDescent="0.3">
      <c r="C116" s="956" t="s">
        <v>30</v>
      </c>
      <c r="D116" s="954">
        <v>0</v>
      </c>
      <c r="E116" s="948"/>
      <c r="F116" s="948"/>
      <c r="G116" s="948"/>
    </row>
    <row r="117" spans="3:7" ht="12.6" customHeight="1" thickBot="1" x14ac:dyDescent="0.3">
      <c r="C117" s="956" t="s">
        <v>3</v>
      </c>
      <c r="D117" s="957"/>
      <c r="E117" s="957"/>
      <c r="F117" s="957"/>
      <c r="G117" s="957"/>
    </row>
    <row r="118" spans="3:7" ht="12.6" customHeight="1" thickBot="1" x14ac:dyDescent="0.3">
      <c r="C118" s="969" t="s">
        <v>68</v>
      </c>
      <c r="D118" s="954">
        <f>SUM(D111:D117)</f>
        <v>23603</v>
      </c>
      <c r="E118" s="954">
        <f>SUM(E111:E117)</f>
        <v>25000</v>
      </c>
      <c r="F118" s="954">
        <f>SUM(F111:F117)</f>
        <v>27000</v>
      </c>
      <c r="G118" s="954">
        <f>SUM(G111:G117)</f>
        <v>28000</v>
      </c>
    </row>
    <row r="119" spans="3:7" ht="12.6" customHeight="1" thickBot="1" x14ac:dyDescent="0.3">
      <c r="C119" s="968" t="s">
        <v>70</v>
      </c>
      <c r="D119" s="967">
        <f>D118-D103</f>
        <v>0</v>
      </c>
      <c r="E119" s="967">
        <f>E118-E103</f>
        <v>0</v>
      </c>
      <c r="F119" s="967">
        <f>F118-F103</f>
        <v>0</v>
      </c>
      <c r="G119" s="967">
        <f>G118-G103</f>
        <v>0</v>
      </c>
    </row>
    <row r="120" spans="3:7" s="978" customFormat="1" ht="45" customHeight="1" thickBot="1" x14ac:dyDescent="0.3">
      <c r="C120" s="950" t="s">
        <v>497</v>
      </c>
      <c r="D120" s="2680" t="s">
        <v>792</v>
      </c>
      <c r="E120" s="2681"/>
      <c r="F120" s="2681"/>
      <c r="G120" s="2682"/>
    </row>
    <row r="121" spans="3:7" ht="19.149999999999999" customHeight="1" thickBot="1" x14ac:dyDescent="0.3">
      <c r="C121" s="2698" t="s">
        <v>506</v>
      </c>
      <c r="D121" s="2699"/>
      <c r="E121" s="2699"/>
      <c r="F121" s="2699"/>
      <c r="G121" s="2700"/>
    </row>
    <row r="122" spans="3:7" ht="12.6" customHeight="1" x14ac:dyDescent="0.25">
      <c r="C122" s="977"/>
      <c r="D122" s="976">
        <v>2018</v>
      </c>
      <c r="E122" s="976">
        <v>2019</v>
      </c>
      <c r="F122" s="976">
        <v>2020</v>
      </c>
      <c r="G122" s="976">
        <v>2021</v>
      </c>
    </row>
    <row r="123" spans="3:7" ht="12.6" customHeight="1" thickBot="1" x14ac:dyDescent="0.3">
      <c r="C123" s="987" t="s">
        <v>790</v>
      </c>
      <c r="D123" s="989" t="s">
        <v>48</v>
      </c>
      <c r="E123" s="989" t="s">
        <v>42</v>
      </c>
      <c r="F123" s="989" t="s">
        <v>42</v>
      </c>
      <c r="G123" s="989" t="s">
        <v>42</v>
      </c>
    </row>
    <row r="124" spans="3:7" ht="12.6" customHeight="1" thickBot="1" x14ac:dyDescent="0.3">
      <c r="C124" s="1142" t="s">
        <v>791</v>
      </c>
      <c r="D124" s="988">
        <v>73347</v>
      </c>
      <c r="E124" s="988">
        <v>71300</v>
      </c>
      <c r="F124" s="988">
        <v>69200</v>
      </c>
      <c r="G124" s="988">
        <v>67100</v>
      </c>
    </row>
    <row r="125" spans="3:7" ht="15" customHeight="1" thickBot="1" x14ac:dyDescent="0.3">
      <c r="C125" s="987" t="s">
        <v>790</v>
      </c>
      <c r="D125" s="985">
        <v>10</v>
      </c>
      <c r="E125" s="985">
        <v>12</v>
      </c>
      <c r="F125" s="985">
        <v>15</v>
      </c>
      <c r="G125" s="985">
        <v>15</v>
      </c>
    </row>
    <row r="126" spans="3:7" ht="20.45" customHeight="1" thickBot="1" x14ac:dyDescent="0.3">
      <c r="C126" s="987" t="s">
        <v>789</v>
      </c>
      <c r="D126" s="986">
        <v>510000</v>
      </c>
      <c r="E126" s="986">
        <v>1030000</v>
      </c>
      <c r="F126" s="986">
        <v>1350000</v>
      </c>
      <c r="G126" s="986">
        <v>1780000</v>
      </c>
    </row>
    <row r="127" spans="3:7" ht="19.149999999999999" customHeight="1" thickBot="1" x14ac:dyDescent="0.3">
      <c r="C127" s="2677" t="s">
        <v>536</v>
      </c>
      <c r="D127" s="2678"/>
      <c r="E127" s="2678"/>
      <c r="F127" s="2678"/>
      <c r="G127" s="2679"/>
    </row>
    <row r="128" spans="3:7" ht="25.15" customHeight="1" thickBot="1" x14ac:dyDescent="0.3">
      <c r="C128" s="2701" t="s">
        <v>788</v>
      </c>
      <c r="D128" s="2702"/>
      <c r="E128" s="2702"/>
      <c r="F128" s="2702"/>
      <c r="G128" s="2703"/>
    </row>
    <row r="129" spans="3:7" ht="58.15" customHeight="1" thickBot="1" x14ac:dyDescent="0.3">
      <c r="C129" s="975" t="s">
        <v>659</v>
      </c>
      <c r="D129" s="2704" t="s">
        <v>787</v>
      </c>
      <c r="E129" s="2705"/>
      <c r="F129" s="2705"/>
      <c r="G129" s="2706"/>
    </row>
    <row r="130" spans="3:7" ht="42" customHeight="1" thickBot="1" x14ac:dyDescent="0.3">
      <c r="C130" s="1139" t="s">
        <v>10</v>
      </c>
      <c r="D130" s="2704" t="s">
        <v>786</v>
      </c>
      <c r="E130" s="2705"/>
      <c r="F130" s="2705"/>
      <c r="G130" s="2706"/>
    </row>
    <row r="131" spans="3:7" ht="12.6" customHeight="1" thickBot="1" x14ac:dyDescent="0.3">
      <c r="C131" s="1139" t="s">
        <v>13</v>
      </c>
      <c r="D131" s="2707" t="s">
        <v>785</v>
      </c>
      <c r="E131" s="2708"/>
      <c r="F131" s="2708"/>
      <c r="G131" s="2709"/>
    </row>
    <row r="132" spans="3:7" ht="12.6" customHeight="1" x14ac:dyDescent="0.25">
      <c r="C132" s="2686"/>
      <c r="D132" s="971">
        <v>2018</v>
      </c>
      <c r="E132" s="971">
        <v>2019</v>
      </c>
      <c r="F132" s="971">
        <v>2020</v>
      </c>
      <c r="G132" s="971">
        <v>2021</v>
      </c>
    </row>
    <row r="133" spans="3:7" ht="12.6" customHeight="1" thickBot="1" x14ac:dyDescent="0.3">
      <c r="C133" s="2687"/>
      <c r="D133" s="970" t="s">
        <v>6</v>
      </c>
      <c r="E133" s="970" t="s">
        <v>7</v>
      </c>
      <c r="F133" s="970" t="s">
        <v>7</v>
      </c>
      <c r="G133" s="970" t="s">
        <v>7</v>
      </c>
    </row>
    <row r="134" spans="3:7" ht="12.6" customHeight="1" thickBot="1" x14ac:dyDescent="0.3">
      <c r="C134" s="1139" t="s">
        <v>9</v>
      </c>
      <c r="D134" s="985">
        <v>10</v>
      </c>
      <c r="E134" s="985">
        <v>12</v>
      </c>
      <c r="F134" s="985">
        <v>15</v>
      </c>
      <c r="G134" s="985">
        <v>15</v>
      </c>
    </row>
    <row r="135" spans="3:7" ht="12.6" customHeight="1" thickBot="1" x14ac:dyDescent="0.3">
      <c r="C135" s="1139" t="s">
        <v>14</v>
      </c>
      <c r="D135" s="984">
        <v>510000</v>
      </c>
      <c r="E135" s="986">
        <v>1030000</v>
      </c>
      <c r="F135" s="986">
        <v>1350000</v>
      </c>
      <c r="G135" s="986">
        <v>1780000</v>
      </c>
    </row>
    <row r="136" spans="3:7" ht="12.6" customHeight="1" thickBot="1" x14ac:dyDescent="0.3">
      <c r="C136" s="1139" t="s">
        <v>23</v>
      </c>
      <c r="D136" s="983">
        <f>D135/D134</f>
        <v>51000</v>
      </c>
      <c r="E136" s="983">
        <f>E135/E134</f>
        <v>85833.333333333328</v>
      </c>
      <c r="F136" s="983">
        <f>F135/F134</f>
        <v>90000</v>
      </c>
      <c r="G136" s="983">
        <f>G135/G134</f>
        <v>118666.66666666667</v>
      </c>
    </row>
    <row r="137" spans="3:7" ht="12.6" customHeight="1" thickBot="1" x14ac:dyDescent="0.3">
      <c r="C137" s="1139" t="s">
        <v>15</v>
      </c>
      <c r="D137" s="972"/>
      <c r="E137" s="972">
        <f t="shared" ref="E137:G139" si="8">E134/D134-1</f>
        <v>0.19999999999999996</v>
      </c>
      <c r="F137" s="972">
        <f t="shared" si="8"/>
        <v>0.25</v>
      </c>
      <c r="G137" s="972">
        <f t="shared" si="8"/>
        <v>0</v>
      </c>
    </row>
    <row r="138" spans="3:7" ht="12.6" customHeight="1" thickBot="1" x14ac:dyDescent="0.3">
      <c r="C138" s="1139" t="s">
        <v>16</v>
      </c>
      <c r="D138" s="972"/>
      <c r="E138" s="972">
        <f>E135/D135-1</f>
        <v>1.0196078431372548</v>
      </c>
      <c r="F138" s="972">
        <f>F135/E135-1</f>
        <v>0.31067961165048552</v>
      </c>
      <c r="G138" s="972">
        <f t="shared" si="8"/>
        <v>0.31851851851851842</v>
      </c>
    </row>
    <row r="139" spans="3:7" ht="12.6" customHeight="1" thickBot="1" x14ac:dyDescent="0.3">
      <c r="C139" s="1139" t="s">
        <v>17</v>
      </c>
      <c r="D139" s="972"/>
      <c r="E139" s="972">
        <f t="shared" si="8"/>
        <v>0.68300653594771221</v>
      </c>
      <c r="F139" s="972">
        <f t="shared" si="8"/>
        <v>4.8543689320388328E-2</v>
      </c>
      <c r="G139" s="972">
        <f t="shared" si="8"/>
        <v>0.31851851851851865</v>
      </c>
    </row>
    <row r="140" spans="3:7" ht="16.149999999999999" customHeight="1" thickBot="1" x14ac:dyDescent="0.3">
      <c r="C140" s="2688" t="s">
        <v>781</v>
      </c>
      <c r="D140" s="2689"/>
      <c r="E140" s="2689"/>
      <c r="F140" s="2689"/>
      <c r="G140" s="2690"/>
    </row>
    <row r="141" spans="3:7" ht="12.6" customHeight="1" x14ac:dyDescent="0.25">
      <c r="C141" s="2686"/>
      <c r="D141" s="971">
        <v>2018</v>
      </c>
      <c r="E141" s="971">
        <v>2019</v>
      </c>
      <c r="F141" s="971">
        <v>2020</v>
      </c>
      <c r="G141" s="971">
        <v>2021</v>
      </c>
    </row>
    <row r="142" spans="3:7" ht="12.6" customHeight="1" thickBot="1" x14ac:dyDescent="0.3">
      <c r="C142" s="2687"/>
      <c r="D142" s="970" t="s">
        <v>6</v>
      </c>
      <c r="E142" s="970" t="s">
        <v>7</v>
      </c>
      <c r="F142" s="970" t="s">
        <v>7</v>
      </c>
      <c r="G142" s="970" t="s">
        <v>7</v>
      </c>
    </row>
    <row r="143" spans="3:7" ht="12.6" customHeight="1" thickBot="1" x14ac:dyDescent="0.3">
      <c r="C143" s="981" t="s">
        <v>104</v>
      </c>
      <c r="D143" s="982"/>
      <c r="E143" s="982"/>
      <c r="F143" s="982"/>
      <c r="G143" s="982"/>
    </row>
    <row r="144" spans="3:7" ht="12.6" customHeight="1" thickBot="1" x14ac:dyDescent="0.3">
      <c r="C144" s="981" t="s">
        <v>105</v>
      </c>
      <c r="D144" s="979">
        <f>D135</f>
        <v>510000</v>
      </c>
      <c r="E144" s="979">
        <f>E135</f>
        <v>1030000</v>
      </c>
      <c r="F144" s="979">
        <f>F135</f>
        <v>1350000</v>
      </c>
      <c r="G144" s="979">
        <f>G135</f>
        <v>1780000</v>
      </c>
    </row>
    <row r="145" spans="3:7" ht="12.6" customHeight="1" x14ac:dyDescent="0.25">
      <c r="C145" s="980" t="s">
        <v>68</v>
      </c>
      <c r="D145" s="979">
        <f>D144+D143</f>
        <v>510000</v>
      </c>
      <c r="E145" s="979">
        <f>E144+E143</f>
        <v>1030000</v>
      </c>
      <c r="F145" s="979">
        <f>F144+F143</f>
        <v>1350000</v>
      </c>
      <c r="G145" s="979">
        <f>G144+G143</f>
        <v>1780000</v>
      </c>
    </row>
    <row r="146" spans="3:7" ht="12.6" customHeight="1" thickBot="1" x14ac:dyDescent="0.3">
      <c r="C146" s="968" t="s">
        <v>70</v>
      </c>
      <c r="D146" s="967">
        <f>D145-D135</f>
        <v>0</v>
      </c>
      <c r="E146" s="967">
        <f>E145-E135</f>
        <v>0</v>
      </c>
      <c r="F146" s="967">
        <f>F145-F135</f>
        <v>0</v>
      </c>
      <c r="G146" s="967">
        <f>G145-G135</f>
        <v>0</v>
      </c>
    </row>
    <row r="147" spans="3:7" s="978" customFormat="1" ht="79.900000000000006" customHeight="1" thickBot="1" x14ac:dyDescent="0.3">
      <c r="C147" s="950" t="s">
        <v>512</v>
      </c>
      <c r="D147" s="2671" t="s">
        <v>784</v>
      </c>
      <c r="E147" s="2672"/>
      <c r="F147" s="2672"/>
      <c r="G147" s="2673"/>
    </row>
    <row r="148" spans="3:7" ht="12.6" customHeight="1" x14ac:dyDescent="0.25">
      <c r="C148" s="2674" t="s">
        <v>537</v>
      </c>
      <c r="D148" s="2675"/>
      <c r="E148" s="2675"/>
      <c r="F148" s="2675"/>
      <c r="G148" s="2676"/>
    </row>
    <row r="149" spans="3:7" ht="12.6" customHeight="1" x14ac:dyDescent="0.25">
      <c r="C149" s="977"/>
      <c r="D149" s="976">
        <v>2018</v>
      </c>
      <c r="E149" s="976">
        <v>2019</v>
      </c>
      <c r="F149" s="976">
        <v>2020</v>
      </c>
      <c r="G149" s="976">
        <v>2021</v>
      </c>
    </row>
    <row r="150" spans="3:7" ht="28.15" customHeight="1" thickBot="1" x14ac:dyDescent="0.3">
      <c r="C150" s="958" t="s">
        <v>783</v>
      </c>
      <c r="D150" s="974">
        <v>14000</v>
      </c>
      <c r="E150" s="974">
        <v>14000</v>
      </c>
      <c r="F150" s="974">
        <v>14000</v>
      </c>
      <c r="G150" s="974">
        <v>14000</v>
      </c>
    </row>
    <row r="151" spans="3:7" ht="15.6" customHeight="1" thickBot="1" x14ac:dyDescent="0.3">
      <c r="C151" s="1179" t="s">
        <v>791</v>
      </c>
      <c r="D151" s="988">
        <v>73347</v>
      </c>
      <c r="E151" s="988">
        <v>71300</v>
      </c>
      <c r="F151" s="988">
        <v>69200</v>
      </c>
      <c r="G151" s="988">
        <v>67100</v>
      </c>
    </row>
    <row r="152" spans="3:7" ht="13.9" customHeight="1" thickBot="1" x14ac:dyDescent="0.3">
      <c r="C152" s="1179" t="s">
        <v>809</v>
      </c>
      <c r="D152" s="988">
        <v>107555</v>
      </c>
      <c r="E152" s="988">
        <v>103400</v>
      </c>
      <c r="F152" s="988">
        <v>100200</v>
      </c>
      <c r="G152" s="988">
        <v>97100</v>
      </c>
    </row>
    <row r="153" spans="3:7" ht="21" customHeight="1" thickBot="1" x14ac:dyDescent="0.3">
      <c r="C153" s="2677" t="s">
        <v>535</v>
      </c>
      <c r="D153" s="2678"/>
      <c r="E153" s="2678"/>
      <c r="F153" s="2678"/>
      <c r="G153" s="2679"/>
    </row>
    <row r="154" spans="3:7" ht="12.6" customHeight="1" thickBot="1" x14ac:dyDescent="0.3">
      <c r="C154" s="2677" t="s">
        <v>121</v>
      </c>
      <c r="D154" s="2678"/>
      <c r="E154" s="2678"/>
      <c r="F154" s="2678"/>
      <c r="G154" s="2679"/>
    </row>
    <row r="155" spans="3:7" ht="31.9" customHeight="1" thickBot="1" x14ac:dyDescent="0.3">
      <c r="C155" s="975" t="s">
        <v>648</v>
      </c>
      <c r="D155" s="2680" t="s">
        <v>968</v>
      </c>
      <c r="E155" s="2681"/>
      <c r="F155" s="2681"/>
      <c r="G155" s="2682"/>
    </row>
    <row r="156" spans="3:7" ht="160.9" customHeight="1" thickBot="1" x14ac:dyDescent="0.3">
      <c r="C156" s="1139" t="s">
        <v>10</v>
      </c>
      <c r="D156" s="2680" t="s">
        <v>969</v>
      </c>
      <c r="E156" s="2681"/>
      <c r="F156" s="2681"/>
      <c r="G156" s="2682"/>
    </row>
    <row r="157" spans="3:7" ht="12.6" customHeight="1" thickBot="1" x14ac:dyDescent="0.3">
      <c r="C157" s="1139" t="s">
        <v>13</v>
      </c>
      <c r="D157" s="2683" t="s">
        <v>782</v>
      </c>
      <c r="E157" s="2684"/>
      <c r="F157" s="2684"/>
      <c r="G157" s="2685"/>
    </row>
    <row r="158" spans="3:7" ht="12.6" customHeight="1" x14ac:dyDescent="0.25">
      <c r="C158" s="2686"/>
      <c r="D158" s="971">
        <v>2018</v>
      </c>
      <c r="E158" s="971">
        <v>2019</v>
      </c>
      <c r="F158" s="971">
        <v>2020</v>
      </c>
      <c r="G158" s="971">
        <v>2021</v>
      </c>
    </row>
    <row r="159" spans="3:7" ht="12.6" customHeight="1" thickBot="1" x14ac:dyDescent="0.3">
      <c r="C159" s="2687"/>
      <c r="D159" s="970" t="s">
        <v>6</v>
      </c>
      <c r="E159" s="970" t="s">
        <v>7</v>
      </c>
      <c r="F159" s="970" t="s">
        <v>7</v>
      </c>
      <c r="G159" s="970" t="s">
        <v>7</v>
      </c>
    </row>
    <row r="160" spans="3:7" ht="12.6" customHeight="1" thickBot="1" x14ac:dyDescent="0.3">
      <c r="C160" s="1139" t="s">
        <v>9</v>
      </c>
      <c r="D160" s="974">
        <v>14000</v>
      </c>
      <c r="E160" s="974">
        <v>14000</v>
      </c>
      <c r="F160" s="974">
        <v>14000</v>
      </c>
      <c r="G160" s="974">
        <v>14000</v>
      </c>
    </row>
    <row r="161" spans="3:7" ht="12.6" customHeight="1" thickBot="1" x14ac:dyDescent="0.3">
      <c r="C161" s="1139" t="s">
        <v>14</v>
      </c>
      <c r="D161" s="974">
        <v>700000</v>
      </c>
      <c r="E161" s="974">
        <v>750000</v>
      </c>
      <c r="F161" s="974">
        <v>820000</v>
      </c>
      <c r="G161" s="974">
        <v>900000</v>
      </c>
    </row>
    <row r="162" spans="3:7" ht="12.6" customHeight="1" thickBot="1" x14ac:dyDescent="0.3">
      <c r="C162" s="1139" t="s">
        <v>23</v>
      </c>
      <c r="D162" s="973">
        <f>D161/D160</f>
        <v>50</v>
      </c>
      <c r="E162" s="973">
        <f>E161/E160</f>
        <v>53.571428571428569</v>
      </c>
      <c r="F162" s="973">
        <f>F161/F160</f>
        <v>58.571428571428569</v>
      </c>
      <c r="G162" s="973">
        <f>G161/G160</f>
        <v>64.285714285714292</v>
      </c>
    </row>
    <row r="163" spans="3:7" ht="12.6" customHeight="1" thickBot="1" x14ac:dyDescent="0.3">
      <c r="C163" s="1139" t="s">
        <v>15</v>
      </c>
      <c r="D163" s="972"/>
      <c r="E163" s="972">
        <f t="shared" ref="E163:G165" si="9">E160/D160-1</f>
        <v>0</v>
      </c>
      <c r="F163" s="972">
        <f t="shared" si="9"/>
        <v>0</v>
      </c>
      <c r="G163" s="972">
        <f t="shared" si="9"/>
        <v>0</v>
      </c>
    </row>
    <row r="164" spans="3:7" ht="12.6" customHeight="1" thickBot="1" x14ac:dyDescent="0.3">
      <c r="C164" s="1139" t="s">
        <v>16</v>
      </c>
      <c r="D164" s="972"/>
      <c r="E164" s="972">
        <f>E161/D161-1</f>
        <v>7.1428571428571397E-2</v>
      </c>
      <c r="F164" s="972">
        <f t="shared" si="9"/>
        <v>9.3333333333333268E-2</v>
      </c>
      <c r="G164" s="972">
        <f t="shared" si="9"/>
        <v>9.7560975609756184E-2</v>
      </c>
    </row>
    <row r="165" spans="3:7" ht="12.6" customHeight="1" thickBot="1" x14ac:dyDescent="0.3">
      <c r="C165" s="1139" t="s">
        <v>17</v>
      </c>
      <c r="D165" s="972"/>
      <c r="E165" s="972">
        <f t="shared" si="9"/>
        <v>7.1428571428571397E-2</v>
      </c>
      <c r="F165" s="972">
        <f t="shared" si="9"/>
        <v>9.3333333333333268E-2</v>
      </c>
      <c r="G165" s="972">
        <f t="shared" si="9"/>
        <v>9.7560975609756184E-2</v>
      </c>
    </row>
    <row r="166" spans="3:7" ht="12.6" customHeight="1" thickBot="1" x14ac:dyDescent="0.3">
      <c r="C166" s="2688" t="s">
        <v>781</v>
      </c>
      <c r="D166" s="2689"/>
      <c r="E166" s="2689"/>
      <c r="F166" s="2689"/>
      <c r="G166" s="2690"/>
    </row>
    <row r="167" spans="3:7" ht="12.6" customHeight="1" x14ac:dyDescent="0.25">
      <c r="C167" s="2686"/>
      <c r="D167" s="971">
        <v>2018</v>
      </c>
      <c r="E167" s="971">
        <v>2019</v>
      </c>
      <c r="F167" s="971">
        <v>2020</v>
      </c>
      <c r="G167" s="971">
        <v>2021</v>
      </c>
    </row>
    <row r="168" spans="3:7" ht="12.6" customHeight="1" thickBot="1" x14ac:dyDescent="0.3">
      <c r="C168" s="2687"/>
      <c r="D168" s="970" t="s">
        <v>6</v>
      </c>
      <c r="E168" s="970" t="s">
        <v>7</v>
      </c>
      <c r="F168" s="970" t="s">
        <v>7</v>
      </c>
      <c r="G168" s="970" t="s">
        <v>7</v>
      </c>
    </row>
    <row r="169" spans="3:7" ht="12.6" customHeight="1" thickBot="1" x14ac:dyDescent="0.3">
      <c r="C169" s="956" t="s">
        <v>0</v>
      </c>
      <c r="D169" s="948">
        <v>0</v>
      </c>
      <c r="E169" s="948">
        <v>0</v>
      </c>
      <c r="F169" s="948">
        <v>0</v>
      </c>
      <c r="G169" s="948">
        <v>0</v>
      </c>
    </row>
    <row r="170" spans="3:7" ht="12.6" customHeight="1" thickBot="1" x14ac:dyDescent="0.3">
      <c r="C170" s="956" t="s">
        <v>49</v>
      </c>
      <c r="D170" s="948">
        <v>0</v>
      </c>
      <c r="E170" s="948">
        <v>0</v>
      </c>
      <c r="F170" s="948">
        <v>0</v>
      </c>
      <c r="G170" s="948">
        <v>0</v>
      </c>
    </row>
    <row r="171" spans="3:7" ht="12.6" customHeight="1" thickBot="1" x14ac:dyDescent="0.3">
      <c r="C171" s="956" t="s">
        <v>1</v>
      </c>
      <c r="D171" s="954">
        <v>0</v>
      </c>
      <c r="E171" s="954">
        <v>0</v>
      </c>
      <c r="F171" s="954">
        <v>0</v>
      </c>
      <c r="G171" s="954">
        <v>0</v>
      </c>
    </row>
    <row r="172" spans="3:7" ht="12.6" customHeight="1" thickBot="1" x14ac:dyDescent="0.3">
      <c r="C172" s="956" t="s">
        <v>2</v>
      </c>
      <c r="D172" s="954">
        <v>0</v>
      </c>
      <c r="E172" s="954">
        <v>0</v>
      </c>
      <c r="F172" s="954">
        <v>0</v>
      </c>
      <c r="G172" s="954">
        <v>0</v>
      </c>
    </row>
    <row r="173" spans="3:7" ht="12.6" customHeight="1" thickBot="1" x14ac:dyDescent="0.3">
      <c r="C173" s="956" t="s">
        <v>28</v>
      </c>
      <c r="D173" s="954">
        <f>D161</f>
        <v>700000</v>
      </c>
      <c r="E173" s="954">
        <f>E161</f>
        <v>750000</v>
      </c>
      <c r="F173" s="954">
        <f>F161</f>
        <v>820000</v>
      </c>
      <c r="G173" s="954">
        <f>G161</f>
        <v>900000</v>
      </c>
    </row>
    <row r="174" spans="3:7" ht="12.6" customHeight="1" thickBot="1" x14ac:dyDescent="0.3">
      <c r="C174" s="9" t="s">
        <v>59</v>
      </c>
      <c r="D174" s="954">
        <v>0</v>
      </c>
      <c r="E174" s="1182">
        <f>E162/D162-1</f>
        <v>7.1428571428571397E-2</v>
      </c>
      <c r="F174" s="1182">
        <f t="shared" ref="F174:G174" si="10">F162/E162-1</f>
        <v>9.3333333333333268E-2</v>
      </c>
      <c r="G174" s="1182">
        <f t="shared" si="10"/>
        <v>9.7560975609756184E-2</v>
      </c>
    </row>
    <row r="175" spans="3:7" ht="12.6" customHeight="1" thickBot="1" x14ac:dyDescent="0.3">
      <c r="C175" s="9" t="s">
        <v>111</v>
      </c>
      <c r="D175" s="954">
        <v>0</v>
      </c>
      <c r="E175" s="1183">
        <v>0</v>
      </c>
      <c r="F175" s="1183">
        <v>0</v>
      </c>
      <c r="G175" s="1183">
        <v>0</v>
      </c>
    </row>
    <row r="176" spans="3:7" ht="12.6" customHeight="1" thickBot="1" x14ac:dyDescent="0.3">
      <c r="C176" s="956" t="s">
        <v>30</v>
      </c>
      <c r="D176" s="954"/>
      <c r="E176" s="948"/>
      <c r="F176" s="948"/>
      <c r="G176" s="948"/>
    </row>
    <row r="177" spans="3:15" ht="12.6" customHeight="1" thickBot="1" x14ac:dyDescent="0.3">
      <c r="C177" s="956" t="s">
        <v>3</v>
      </c>
      <c r="D177" s="957">
        <v>0</v>
      </c>
      <c r="E177" s="957">
        <v>0</v>
      </c>
      <c r="F177" s="957">
        <v>0</v>
      </c>
      <c r="G177" s="957">
        <v>0</v>
      </c>
    </row>
    <row r="178" spans="3:15" ht="12.6" customHeight="1" thickBot="1" x14ac:dyDescent="0.3">
      <c r="C178" s="969" t="s">
        <v>68</v>
      </c>
      <c r="D178" s="954">
        <f>D177+D176+D173+D172+D171+D170+D169</f>
        <v>700000</v>
      </c>
      <c r="E178" s="954">
        <f>E177+E176+E173+E172+E171+E170+E169</f>
        <v>750000</v>
      </c>
      <c r="F178" s="954">
        <f>F177+F176+F173+F172+F171+F170+F169</f>
        <v>820000</v>
      </c>
      <c r="G178" s="954">
        <f>G177+G176+G173+G172+G171+G170+G169</f>
        <v>900000</v>
      </c>
    </row>
    <row r="179" spans="3:15" ht="12.6" customHeight="1" thickBot="1" x14ac:dyDescent="0.3">
      <c r="C179" s="968" t="s">
        <v>70</v>
      </c>
      <c r="D179" s="967">
        <f>D178-D161</f>
        <v>0</v>
      </c>
      <c r="E179" s="967">
        <f>E178-E161</f>
        <v>0</v>
      </c>
      <c r="F179" s="967">
        <f>F178-F161</f>
        <v>0</v>
      </c>
      <c r="G179" s="967">
        <f>G178-G161</f>
        <v>0</v>
      </c>
    </row>
    <row r="180" spans="3:15" ht="9.6" customHeight="1" thickBot="1" x14ac:dyDescent="0.3">
      <c r="C180" s="1139"/>
      <c r="D180" s="2691"/>
      <c r="E180" s="2692"/>
      <c r="F180" s="2692"/>
      <c r="G180" s="2693"/>
      <c r="I180" s="959"/>
      <c r="J180" s="959"/>
      <c r="K180" s="959"/>
      <c r="L180" s="959"/>
      <c r="M180" s="959"/>
      <c r="N180" s="959"/>
      <c r="O180" s="959"/>
    </row>
    <row r="181" spans="3:15" ht="12.6" customHeight="1" thickBot="1" x14ac:dyDescent="0.3">
      <c r="C181" s="966"/>
      <c r="D181" s="965">
        <f>D183-D182</f>
        <v>0</v>
      </c>
      <c r="E181" s="965">
        <f>E183-E182</f>
        <v>0.15042089484632015</v>
      </c>
      <c r="F181" s="965">
        <f>F183-F182</f>
        <v>0.15683312714099884</v>
      </c>
      <c r="G181" s="965">
        <f>G183-G182</f>
        <v>0.28138434514403343</v>
      </c>
      <c r="I181" s="959"/>
      <c r="J181" s="959"/>
      <c r="K181" s="959"/>
      <c r="L181" s="959"/>
      <c r="M181" s="959"/>
      <c r="N181" s="959"/>
      <c r="O181" s="959"/>
    </row>
    <row r="182" spans="3:15" ht="16.149999999999999" customHeight="1" thickBot="1" x14ac:dyDescent="0.3">
      <c r="C182" s="964" t="s">
        <v>116</v>
      </c>
      <c r="D182" s="951">
        <f>D58+D103+D135+D161</f>
        <v>7305203</v>
      </c>
      <c r="E182" s="951">
        <f>E58+E103+E135+E161</f>
        <v>8594958</v>
      </c>
      <c r="F182" s="951">
        <f>F58+F103+F135+F161</f>
        <v>9409958</v>
      </c>
      <c r="G182" s="951">
        <f>G58+G103+G135+G161</f>
        <v>10608998</v>
      </c>
      <c r="I182" s="959"/>
      <c r="J182" s="959"/>
      <c r="K182" s="959"/>
      <c r="L182" s="959"/>
      <c r="M182" s="959"/>
      <c r="N182" s="959"/>
      <c r="O182" s="959"/>
    </row>
    <row r="183" spans="3:15" ht="14.45" customHeight="1" thickBot="1" x14ac:dyDescent="0.3">
      <c r="C183" s="964" t="s">
        <v>117</v>
      </c>
      <c r="D183" s="963">
        <f>D87+D118+D145+D178</f>
        <v>7305203</v>
      </c>
      <c r="E183" s="963">
        <f>E87+E118+E145+E178</f>
        <v>8594958.1504208948</v>
      </c>
      <c r="F183" s="963">
        <f>F87+F118+F145+F178</f>
        <v>9409958.1568331271</v>
      </c>
      <c r="G183" s="963">
        <f>G87+G118+G145+G178</f>
        <v>10608998.281384345</v>
      </c>
      <c r="I183" s="959"/>
      <c r="J183" s="959"/>
      <c r="K183" s="959"/>
      <c r="L183" s="959"/>
      <c r="M183" s="959"/>
      <c r="N183" s="959"/>
      <c r="O183" s="959"/>
    </row>
    <row r="184" spans="3:15" ht="12.6" customHeight="1" thickBot="1" x14ac:dyDescent="0.3">
      <c r="C184" s="962" t="s">
        <v>24</v>
      </c>
      <c r="D184" s="961"/>
      <c r="E184" s="960">
        <f>E183/D183-1</f>
        <v>0.17655295142666061</v>
      </c>
      <c r="F184" s="960">
        <f>F183/E183-1</f>
        <v>9.4823033707537308E-2</v>
      </c>
      <c r="G184" s="960">
        <f>G183/F183-1</f>
        <v>0.12742247144643515</v>
      </c>
      <c r="I184" s="959"/>
      <c r="J184" s="959"/>
      <c r="K184" s="959"/>
      <c r="L184" s="959"/>
      <c r="M184" s="959"/>
      <c r="N184" s="959"/>
      <c r="O184" s="959"/>
    </row>
    <row r="185" spans="3:15" ht="12.6" customHeight="1" thickBot="1" x14ac:dyDescent="0.3">
      <c r="C185" s="956" t="s">
        <v>0</v>
      </c>
      <c r="D185" s="949">
        <f>D66+D111+D169</f>
        <v>74603</v>
      </c>
      <c r="E185" s="949">
        <f>E66+E111+E169</f>
        <v>0</v>
      </c>
      <c r="F185" s="949">
        <f>F66+F111+F169</f>
        <v>0</v>
      </c>
      <c r="G185" s="949">
        <f>G66+G111+G169</f>
        <v>0</v>
      </c>
      <c r="I185" s="959"/>
      <c r="J185" s="959"/>
      <c r="K185" s="959"/>
      <c r="L185" s="959"/>
      <c r="M185" s="959"/>
      <c r="N185" s="959"/>
      <c r="O185" s="959"/>
    </row>
    <row r="186" spans="3:15" ht="12.6" customHeight="1" thickBot="1" x14ac:dyDescent="0.3">
      <c r="C186" s="955" t="s">
        <v>25</v>
      </c>
      <c r="D186" s="954"/>
      <c r="E186" s="953">
        <v>0</v>
      </c>
      <c r="F186" s="953">
        <v>0</v>
      </c>
      <c r="G186" s="953">
        <v>0</v>
      </c>
      <c r="I186" s="959"/>
      <c r="J186" s="959"/>
      <c r="K186" s="959"/>
      <c r="L186" s="959"/>
      <c r="M186" s="959"/>
      <c r="N186" s="959"/>
      <c r="O186" s="959"/>
    </row>
    <row r="187" spans="3:15" ht="12.6" customHeight="1" thickBot="1" x14ac:dyDescent="0.3">
      <c r="C187" s="956" t="s">
        <v>49</v>
      </c>
      <c r="D187" s="948">
        <f>+D69+D112+D171</f>
        <v>9080</v>
      </c>
      <c r="E187" s="948">
        <f>+E69+E112+E171</f>
        <v>0</v>
      </c>
      <c r="F187" s="948">
        <f>+F69+F112+F171</f>
        <v>0</v>
      </c>
      <c r="G187" s="948">
        <f>+G69+G112+G171</f>
        <v>0</v>
      </c>
      <c r="I187" s="959"/>
      <c r="J187" s="959"/>
      <c r="K187" s="959"/>
      <c r="L187" s="959"/>
      <c r="M187" s="959"/>
      <c r="N187" s="959"/>
      <c r="O187" s="959"/>
    </row>
    <row r="188" spans="3:15" ht="12.6" customHeight="1" thickBot="1" x14ac:dyDescent="0.3">
      <c r="C188" s="955" t="s">
        <v>50</v>
      </c>
      <c r="D188" s="954"/>
      <c r="E188" s="953">
        <v>0</v>
      </c>
      <c r="F188" s="953">
        <v>0</v>
      </c>
      <c r="G188" s="953">
        <v>0</v>
      </c>
      <c r="I188" s="959"/>
      <c r="J188" s="959"/>
      <c r="K188" s="959"/>
      <c r="L188" s="959"/>
      <c r="M188" s="959"/>
      <c r="N188" s="959"/>
      <c r="O188" s="959"/>
    </row>
    <row r="189" spans="3:15" ht="12.6" customHeight="1" thickBot="1" x14ac:dyDescent="0.3">
      <c r="C189" s="956" t="s">
        <v>1</v>
      </c>
      <c r="D189" s="948">
        <f>D72+D113+D171</f>
        <v>61520</v>
      </c>
      <c r="E189" s="948">
        <f>E72+E113+E171</f>
        <v>0</v>
      </c>
      <c r="F189" s="948">
        <f>F72+F113+F171</f>
        <v>0</v>
      </c>
      <c r="G189" s="948">
        <f>G72+G113+G171</f>
        <v>0</v>
      </c>
      <c r="I189" s="959"/>
      <c r="J189" s="959"/>
      <c r="K189" s="959"/>
      <c r="L189" s="959"/>
      <c r="M189" s="959"/>
      <c r="N189" s="959"/>
      <c r="O189" s="959"/>
    </row>
    <row r="190" spans="3:15" ht="12.6" customHeight="1" thickBot="1" x14ac:dyDescent="0.3">
      <c r="C190" s="955" t="s">
        <v>26</v>
      </c>
      <c r="D190" s="954"/>
      <c r="E190" s="953">
        <v>0</v>
      </c>
      <c r="F190" s="953">
        <v>0</v>
      </c>
      <c r="G190" s="953">
        <v>0</v>
      </c>
      <c r="I190" s="959"/>
      <c r="J190" s="959"/>
      <c r="K190" s="959"/>
      <c r="L190" s="959"/>
      <c r="M190" s="959"/>
      <c r="N190" s="959"/>
      <c r="O190" s="959"/>
    </row>
    <row r="191" spans="3:15" ht="12.6" customHeight="1" thickBot="1" x14ac:dyDescent="0.3">
      <c r="C191" s="956" t="s">
        <v>2</v>
      </c>
      <c r="D191" s="948">
        <v>0</v>
      </c>
      <c r="E191" s="948">
        <v>0</v>
      </c>
      <c r="F191" s="948">
        <v>0</v>
      </c>
      <c r="G191" s="948">
        <v>0</v>
      </c>
      <c r="I191" s="959"/>
      <c r="J191" s="959"/>
      <c r="K191" s="959"/>
      <c r="L191" s="959"/>
      <c r="M191" s="959"/>
      <c r="N191" s="959"/>
      <c r="O191" s="959"/>
    </row>
    <row r="192" spans="3:15" ht="12.6" customHeight="1" thickBot="1" x14ac:dyDescent="0.3">
      <c r="C192" s="955" t="s">
        <v>27</v>
      </c>
      <c r="D192" s="954"/>
      <c r="E192" s="953"/>
      <c r="F192" s="953"/>
      <c r="G192" s="953"/>
      <c r="I192" s="959"/>
      <c r="J192" s="959"/>
      <c r="K192" s="959"/>
      <c r="L192" s="959"/>
      <c r="M192" s="959"/>
      <c r="N192" s="959"/>
      <c r="O192" s="959"/>
    </row>
    <row r="193" spans="1:8" ht="12.6" customHeight="1" thickBot="1" x14ac:dyDescent="0.3">
      <c r="C193" s="958" t="s">
        <v>28</v>
      </c>
      <c r="D193" s="957">
        <f>D78+D115+D173</f>
        <v>6650000</v>
      </c>
      <c r="E193" s="957">
        <f>E78+E115+E173</f>
        <v>7564958</v>
      </c>
      <c r="F193" s="957">
        <f>F78+F115+F173</f>
        <v>8059958</v>
      </c>
      <c r="G193" s="957">
        <f>G78+G115+G173</f>
        <v>8828998</v>
      </c>
    </row>
    <row r="194" spans="1:8" ht="12.6" customHeight="1" thickBot="1" x14ac:dyDescent="0.3">
      <c r="C194" s="955" t="s">
        <v>29</v>
      </c>
      <c r="D194" s="954"/>
      <c r="E194" s="953">
        <f>E193/D193-1</f>
        <v>0.1375876691729323</v>
      </c>
      <c r="F194" s="953">
        <f>F193/E193-1</f>
        <v>6.5433278016877372E-2</v>
      </c>
      <c r="G194" s="953">
        <f>G193/F193-1</f>
        <v>9.5414889258728097E-2</v>
      </c>
    </row>
    <row r="195" spans="1:8" ht="12.6" customHeight="1" thickBot="1" x14ac:dyDescent="0.3">
      <c r="C195" s="956" t="s">
        <v>30</v>
      </c>
      <c r="D195" s="949">
        <v>0</v>
      </c>
      <c r="E195" s="949">
        <v>0</v>
      </c>
      <c r="F195" s="949">
        <v>0</v>
      </c>
      <c r="G195" s="949">
        <v>0</v>
      </c>
    </row>
    <row r="196" spans="1:8" ht="12.6" customHeight="1" thickBot="1" x14ac:dyDescent="0.3">
      <c r="C196" s="955" t="s">
        <v>31</v>
      </c>
      <c r="D196" s="954"/>
      <c r="E196" s="953">
        <v>0</v>
      </c>
      <c r="F196" s="953">
        <v>0</v>
      </c>
      <c r="G196" s="953">
        <v>0</v>
      </c>
    </row>
    <row r="197" spans="1:8" ht="12.6" customHeight="1" thickBot="1" x14ac:dyDescent="0.3">
      <c r="C197" s="956" t="s">
        <v>3</v>
      </c>
      <c r="D197" s="949">
        <v>0</v>
      </c>
      <c r="E197" s="949">
        <v>0</v>
      </c>
      <c r="F197" s="949">
        <v>0</v>
      </c>
      <c r="G197" s="949">
        <v>0</v>
      </c>
    </row>
    <row r="198" spans="1:8" ht="12.6" customHeight="1" thickBot="1" x14ac:dyDescent="0.3">
      <c r="C198" s="955" t="s">
        <v>32</v>
      </c>
      <c r="D198" s="954"/>
      <c r="E198" s="953">
        <v>0</v>
      </c>
      <c r="F198" s="953">
        <v>0</v>
      </c>
      <c r="G198" s="953">
        <v>0</v>
      </c>
      <c r="H198" s="930">
        <v>0</v>
      </c>
    </row>
    <row r="199" spans="1:8" ht="12.6" customHeight="1" thickBot="1" x14ac:dyDescent="0.3">
      <c r="C199" s="956" t="s">
        <v>18</v>
      </c>
      <c r="D199" s="948">
        <v>0</v>
      </c>
      <c r="E199" s="948">
        <v>0</v>
      </c>
      <c r="F199" s="948">
        <v>0</v>
      </c>
      <c r="G199" s="948">
        <v>0</v>
      </c>
    </row>
    <row r="200" spans="1:8" ht="12.6" customHeight="1" thickBot="1" x14ac:dyDescent="0.3">
      <c r="C200" s="955" t="s">
        <v>33</v>
      </c>
      <c r="D200" s="954"/>
      <c r="E200" s="953"/>
      <c r="F200" s="953"/>
      <c r="G200" s="953"/>
    </row>
    <row r="201" spans="1:8" ht="12.6" customHeight="1" thickBot="1" x14ac:dyDescent="0.3">
      <c r="C201" s="956" t="s">
        <v>19</v>
      </c>
      <c r="D201" s="948">
        <f>D144</f>
        <v>510000</v>
      </c>
      <c r="E201" s="948">
        <f>E144</f>
        <v>1030000</v>
      </c>
      <c r="F201" s="948">
        <f>F144</f>
        <v>1350000</v>
      </c>
      <c r="G201" s="948">
        <f>G144</f>
        <v>1780000</v>
      </c>
    </row>
    <row r="202" spans="1:8" ht="12.6" customHeight="1" thickBot="1" x14ac:dyDescent="0.3">
      <c r="C202" s="955" t="s">
        <v>34</v>
      </c>
      <c r="D202" s="954"/>
      <c r="E202" s="953">
        <f>E201/D201-1</f>
        <v>1.0196078431372548</v>
      </c>
      <c r="F202" s="953">
        <f>F201/E201-1</f>
        <v>0.31067961165048552</v>
      </c>
      <c r="G202" s="953">
        <f>G201/F201-1</f>
        <v>0.31851851851851842</v>
      </c>
    </row>
    <row r="203" spans="1:8" ht="12.6" customHeight="1" thickBot="1" x14ac:dyDescent="0.3">
      <c r="C203" s="952" t="s">
        <v>972</v>
      </c>
      <c r="D203" s="951">
        <f>D185+D187+D189+D191+D193+D195+D197+D199+D201</f>
        <v>7305203</v>
      </c>
      <c r="E203" s="951">
        <f>E185+E187+E189+E191+E193+E195+E197+E199+E201</f>
        <v>8594958</v>
      </c>
      <c r="F203" s="951">
        <f>F185+F187+F189+F191+F193+F195+F197+F199+F201</f>
        <v>9409958</v>
      </c>
      <c r="G203" s="951">
        <f>G185+G187+G189+G191+G193+G195+G197+G199+G201</f>
        <v>10608998</v>
      </c>
    </row>
    <row r="204" spans="1:8" ht="12.6" customHeight="1" thickBot="1" x14ac:dyDescent="0.3">
      <c r="C204" s="952" t="s">
        <v>70</v>
      </c>
      <c r="D204" s="947">
        <f>D203-D183</f>
        <v>0</v>
      </c>
      <c r="E204" s="947">
        <f t="shared" ref="E204:G204" si="11">E203-E183</f>
        <v>-0.15042089484632015</v>
      </c>
      <c r="F204" s="947">
        <f t="shared" si="11"/>
        <v>-0.15683312714099884</v>
      </c>
      <c r="G204" s="947">
        <f t="shared" si="11"/>
        <v>-0.28138434514403343</v>
      </c>
    </row>
    <row r="205" spans="1:8" s="1189" customFormat="1" ht="12.6" customHeight="1" x14ac:dyDescent="0.25">
      <c r="A205" s="2665" t="s">
        <v>122</v>
      </c>
      <c r="B205" s="1185" t="s">
        <v>80</v>
      </c>
      <c r="C205" s="1186"/>
      <c r="D205" s="2668" t="s">
        <v>83</v>
      </c>
      <c r="E205" s="1187" t="s">
        <v>80</v>
      </c>
      <c r="F205" s="1188"/>
      <c r="G205" s="2668" t="s">
        <v>118</v>
      </c>
    </row>
    <row r="206" spans="1:8" s="1189" customFormat="1" ht="12.6" customHeight="1" x14ac:dyDescent="0.25">
      <c r="A206" s="2666"/>
      <c r="B206" s="1190" t="s">
        <v>81</v>
      </c>
      <c r="C206" s="1191"/>
      <c r="D206" s="2669"/>
      <c r="E206" s="1192" t="s">
        <v>81</v>
      </c>
      <c r="F206" s="1193"/>
      <c r="G206" s="2669"/>
    </row>
    <row r="207" spans="1:8" s="1189" customFormat="1" ht="12.6" customHeight="1" thickBot="1" x14ac:dyDescent="0.3">
      <c r="A207" s="2667"/>
      <c r="B207" s="1194" t="s">
        <v>82</v>
      </c>
      <c r="C207" s="1195"/>
      <c r="D207" s="2670"/>
      <c r="E207" s="1196" t="s">
        <v>82</v>
      </c>
      <c r="F207" s="1197"/>
      <c r="G207" s="2670"/>
    </row>
    <row r="208" spans="1:8" ht="12.6" customHeight="1" thickBot="1" x14ac:dyDescent="0.3">
      <c r="A208" s="933"/>
      <c r="B208" s="932"/>
      <c r="C208" s="932"/>
      <c r="D208" s="936"/>
      <c r="E208" s="935"/>
      <c r="F208" s="934"/>
      <c r="G208" s="934"/>
    </row>
    <row r="209" spans="1:7" ht="12.6" customHeight="1" thickBot="1" x14ac:dyDescent="0.3">
      <c r="A209" s="933"/>
      <c r="B209" s="932"/>
      <c r="C209" s="937" t="s">
        <v>86</v>
      </c>
      <c r="D209" s="936"/>
      <c r="E209" s="935"/>
      <c r="F209" s="934"/>
      <c r="G209" s="934"/>
    </row>
    <row r="210" spans="1:7" ht="12.6" customHeight="1" x14ac:dyDescent="0.25">
      <c r="A210" s="933"/>
      <c r="B210" s="932"/>
      <c r="C210" s="2655" t="s">
        <v>123</v>
      </c>
      <c r="D210" s="2656"/>
      <c r="E210" s="2656"/>
      <c r="F210" s="2656"/>
      <c r="G210" s="2657"/>
    </row>
    <row r="211" spans="1:7" ht="12.6" customHeight="1" x14ac:dyDescent="0.25">
      <c r="A211" s="933"/>
      <c r="B211" s="932"/>
      <c r="C211" s="2658" t="s">
        <v>124</v>
      </c>
      <c r="D211" s="2659"/>
      <c r="E211" s="2659"/>
      <c r="F211" s="2659"/>
      <c r="G211" s="2660"/>
    </row>
    <row r="212" spans="1:7" ht="12.6" customHeight="1" x14ac:dyDescent="0.25">
      <c r="C212" s="2661" t="s">
        <v>125</v>
      </c>
      <c r="D212" s="2662"/>
      <c r="E212" s="2662"/>
      <c r="F212" s="2662"/>
      <c r="G212" s="2663"/>
    </row>
    <row r="213" spans="1:7" ht="12.6" customHeight="1" x14ac:dyDescent="0.25">
      <c r="C213" s="2661" t="s">
        <v>126</v>
      </c>
      <c r="D213" s="2662"/>
      <c r="E213" s="2662"/>
      <c r="F213" s="2662"/>
      <c r="G213" s="2663"/>
    </row>
    <row r="214" spans="1:7" ht="12.6" customHeight="1" x14ac:dyDescent="0.25">
      <c r="C214" s="2661" t="s">
        <v>115</v>
      </c>
      <c r="D214" s="2662"/>
      <c r="E214" s="2662"/>
      <c r="F214" s="2662"/>
      <c r="G214" s="2663"/>
    </row>
    <row r="215" spans="1:7" ht="12.6" customHeight="1" x14ac:dyDescent="0.25">
      <c r="C215" s="2664" t="s">
        <v>779</v>
      </c>
      <c r="D215" s="2662"/>
      <c r="E215" s="2662"/>
      <c r="F215" s="2662"/>
      <c r="G215" s="2663"/>
    </row>
    <row r="216" spans="1:7" ht="12.6" customHeight="1" thickBot="1" x14ac:dyDescent="0.3">
      <c r="C216" s="2652" t="s">
        <v>79</v>
      </c>
      <c r="D216" s="2653"/>
      <c r="E216" s="2653"/>
      <c r="F216" s="2653"/>
      <c r="G216" s="2654"/>
    </row>
  </sheetData>
  <mergeCells count="51">
    <mergeCell ref="C8:G8"/>
    <mergeCell ref="C2:G2"/>
    <mergeCell ref="C3:G3"/>
    <mergeCell ref="D5:G5"/>
    <mergeCell ref="D6:G6"/>
    <mergeCell ref="D7:G7"/>
    <mergeCell ref="D98:G98"/>
    <mergeCell ref="C9:G9"/>
    <mergeCell ref="D10:G10"/>
    <mergeCell ref="C11:C12"/>
    <mergeCell ref="D40:G40"/>
    <mergeCell ref="C41:G41"/>
    <mergeCell ref="D53:G53"/>
    <mergeCell ref="D54:G54"/>
    <mergeCell ref="C55:C56"/>
    <mergeCell ref="D89:G89"/>
    <mergeCell ref="C90:G90"/>
    <mergeCell ref="D97:G97"/>
    <mergeCell ref="C141:C142"/>
    <mergeCell ref="D99:G99"/>
    <mergeCell ref="C100:C101"/>
    <mergeCell ref="D120:G120"/>
    <mergeCell ref="C121:G121"/>
    <mergeCell ref="C127:G127"/>
    <mergeCell ref="C128:G128"/>
    <mergeCell ref="D129:G129"/>
    <mergeCell ref="D130:G130"/>
    <mergeCell ref="D131:G131"/>
    <mergeCell ref="C132:C133"/>
    <mergeCell ref="C140:G140"/>
    <mergeCell ref="A205:A207"/>
    <mergeCell ref="D205:D207"/>
    <mergeCell ref="G205:G207"/>
    <mergeCell ref="D147:G147"/>
    <mergeCell ref="C148:G148"/>
    <mergeCell ref="C153:G153"/>
    <mergeCell ref="C154:G154"/>
    <mergeCell ref="D155:G155"/>
    <mergeCell ref="D156:G156"/>
    <mergeCell ref="D157:G157"/>
    <mergeCell ref="C158:C159"/>
    <mergeCell ref="C166:G166"/>
    <mergeCell ref="C167:C168"/>
    <mergeCell ref="D180:G180"/>
    <mergeCell ref="C216:G216"/>
    <mergeCell ref="C210:G210"/>
    <mergeCell ref="C211:G211"/>
    <mergeCell ref="C212:G212"/>
    <mergeCell ref="C213:G213"/>
    <mergeCell ref="C214:G214"/>
    <mergeCell ref="C215:G215"/>
  </mergeCells>
  <printOptions horizontalCentered="1" verticalCentered="1"/>
  <pageMargins left="7.874015748031496E-2" right="7.874015748031496E-2" top="0.43307086614173229" bottom="0.43307086614173229" header="0.31496062992125984" footer="0.31496062992125984"/>
  <pageSetup scale="8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C2:O189"/>
  <sheetViews>
    <sheetView topLeftCell="A159" zoomScale="112" zoomScaleNormal="112" workbookViewId="0">
      <selection activeCell="E166" sqref="E166"/>
    </sheetView>
  </sheetViews>
  <sheetFormatPr defaultColWidth="8.85546875" defaultRowHeight="12.6" customHeight="1" x14ac:dyDescent="0.25"/>
  <cols>
    <col min="1" max="1" width="5.7109375" style="1637" customWidth="1"/>
    <col min="2" max="2" width="6.7109375" style="1637" customWidth="1"/>
    <col min="3" max="3" width="66.140625" style="1637" customWidth="1"/>
    <col min="4" max="4" width="15.7109375" style="1638" customWidth="1"/>
    <col min="5" max="5" width="18.42578125" style="1638" customWidth="1"/>
    <col min="6" max="6" width="19.85546875" style="1638" customWidth="1"/>
    <col min="7" max="7" width="18.42578125" style="1638" customWidth="1"/>
    <col min="8" max="8" width="11.7109375" style="1637" bestFit="1" customWidth="1"/>
    <col min="9" max="9" width="12.140625" style="1637" customWidth="1"/>
    <col min="10" max="10" width="11.7109375" style="1637" customWidth="1"/>
    <col min="11" max="11" width="12.28515625" style="1637" customWidth="1"/>
    <col min="12" max="16384" width="8.85546875" style="1637"/>
  </cols>
  <sheetData>
    <row r="2" spans="3:7" ht="22.5" customHeight="1" x14ac:dyDescent="0.25">
      <c r="C2" s="2760" t="s">
        <v>128</v>
      </c>
      <c r="D2" s="2760"/>
      <c r="E2" s="2760"/>
      <c r="F2" s="2760"/>
      <c r="G2" s="2760"/>
    </row>
    <row r="3" spans="3:7" ht="12.6" customHeight="1" thickBot="1" x14ac:dyDescent="0.3"/>
    <row r="4" spans="3:7" ht="30" customHeight="1" thickBot="1" x14ac:dyDescent="0.3">
      <c r="C4" s="1639" t="s">
        <v>20</v>
      </c>
      <c r="D4" s="2742" t="s">
        <v>818</v>
      </c>
      <c r="E4" s="2742"/>
      <c r="F4" s="2742"/>
      <c r="G4" s="2742"/>
    </row>
    <row r="5" spans="3:7" ht="22.9" customHeight="1" thickBot="1" x14ac:dyDescent="0.3">
      <c r="C5" s="1639" t="s">
        <v>4</v>
      </c>
      <c r="D5" s="2743" t="s">
        <v>428</v>
      </c>
      <c r="E5" s="2744"/>
      <c r="F5" s="2744"/>
      <c r="G5" s="2745"/>
    </row>
    <row r="6" spans="3:7" ht="30" customHeight="1" thickBot="1" x14ac:dyDescent="0.3">
      <c r="C6" s="1639" t="s">
        <v>35</v>
      </c>
      <c r="D6" s="2746" t="s">
        <v>5</v>
      </c>
      <c r="E6" s="2747"/>
      <c r="F6" s="2747"/>
      <c r="G6" s="2748"/>
    </row>
    <row r="7" spans="3:7" ht="38.25" customHeight="1" thickBot="1" x14ac:dyDescent="0.3">
      <c r="C7" s="2749" t="s">
        <v>8</v>
      </c>
      <c r="D7" s="2750"/>
      <c r="E7" s="2750"/>
      <c r="F7" s="2750"/>
      <c r="G7" s="2751"/>
    </row>
    <row r="8" spans="3:7" ht="114.75" customHeight="1" thickBot="1" x14ac:dyDescent="0.3">
      <c r="C8" s="2739" t="s">
        <v>962</v>
      </c>
      <c r="D8" s="2740"/>
      <c r="E8" s="2740"/>
      <c r="F8" s="2740"/>
      <c r="G8" s="2741"/>
    </row>
    <row r="9" spans="3:7" ht="165" customHeight="1" thickBot="1" x14ac:dyDescent="0.3">
      <c r="C9" s="1639" t="s">
        <v>11</v>
      </c>
      <c r="D9" s="2769" t="s">
        <v>1175</v>
      </c>
      <c r="E9" s="2764"/>
      <c r="F9" s="2764"/>
      <c r="G9" s="2765"/>
    </row>
    <row r="10" spans="3:7" ht="21" customHeight="1" x14ac:dyDescent="0.25">
      <c r="C10" s="2770" t="s">
        <v>119</v>
      </c>
      <c r="D10" s="1640">
        <v>2018</v>
      </c>
      <c r="E10" s="1640">
        <v>2019</v>
      </c>
      <c r="F10" s="1640">
        <v>2020</v>
      </c>
      <c r="G10" s="1640">
        <v>2021</v>
      </c>
    </row>
    <row r="11" spans="3:7" ht="24.75" customHeight="1" thickBot="1" x14ac:dyDescent="0.3">
      <c r="C11" s="2771"/>
      <c r="D11" s="1641" t="s">
        <v>6</v>
      </c>
      <c r="E11" s="1641" t="s">
        <v>7</v>
      </c>
      <c r="F11" s="1641" t="s">
        <v>7</v>
      </c>
      <c r="G11" s="1641" t="s">
        <v>7</v>
      </c>
    </row>
    <row r="12" spans="3:7" ht="36" customHeight="1" thickBot="1" x14ac:dyDescent="0.3">
      <c r="C12" s="1981" t="s">
        <v>817</v>
      </c>
      <c r="D12" s="1982"/>
      <c r="E12" s="1982"/>
      <c r="F12" s="1982"/>
      <c r="G12" s="1982"/>
    </row>
    <row r="13" spans="3:7" ht="20.100000000000001" customHeight="1" thickBot="1" x14ac:dyDescent="0.3">
      <c r="C13" s="1983" t="s">
        <v>816</v>
      </c>
      <c r="D13" s="1984">
        <v>0.19036735631155918</v>
      </c>
      <c r="E13" s="1984">
        <v>0.18941001005875865</v>
      </c>
      <c r="F13" s="1984">
        <v>0.19244774294517533</v>
      </c>
      <c r="G13" s="1984">
        <v>0.1982338269296994</v>
      </c>
    </row>
    <row r="14" spans="3:7" ht="20.100000000000001" customHeight="1" thickBot="1" x14ac:dyDescent="0.3">
      <c r="C14" s="1983" t="s">
        <v>687</v>
      </c>
      <c r="D14" s="1984">
        <v>4.427524558290181E-3</v>
      </c>
      <c r="E14" s="1984">
        <v>4.2421606480257459E-3</v>
      </c>
      <c r="F14" s="1984">
        <v>4.201839956561179E-3</v>
      </c>
      <c r="G14" s="1984">
        <v>4.0288060453601985E-3</v>
      </c>
    </row>
    <row r="15" spans="3:7" ht="20.100000000000001" customHeight="1" thickBot="1" x14ac:dyDescent="0.3">
      <c r="C15" s="1983" t="s">
        <v>686</v>
      </c>
      <c r="D15" s="1984">
        <v>1.4696557218414345E-2</v>
      </c>
      <c r="E15" s="1984">
        <v>1.4218001676759691E-2</v>
      </c>
      <c r="F15" s="1984">
        <v>1.4315209126858531E-2</v>
      </c>
      <c r="G15" s="1984">
        <v>1.4091226683638856E-2</v>
      </c>
    </row>
    <row r="16" spans="3:7" ht="20.100000000000001" customHeight="1" thickBot="1" x14ac:dyDescent="0.3">
      <c r="C16" s="1985" t="s">
        <v>805</v>
      </c>
      <c r="D16" s="1986">
        <v>7305203</v>
      </c>
      <c r="E16" s="1986">
        <v>7444958</v>
      </c>
      <c r="F16" s="1986">
        <v>7869958</v>
      </c>
      <c r="G16" s="1986">
        <v>8058998</v>
      </c>
    </row>
    <row r="17" spans="3:7" ht="20.100000000000001" customHeight="1" thickBot="1" x14ac:dyDescent="0.3">
      <c r="C17" s="1987" t="s">
        <v>815</v>
      </c>
      <c r="D17" s="1984">
        <v>0.30115312766308194</v>
      </c>
      <c r="E17" s="1984">
        <v>0.30185411947979601</v>
      </c>
      <c r="F17" s="1984">
        <v>0.30322176847459287</v>
      </c>
      <c r="G17" s="1984">
        <v>0.30966180449648251</v>
      </c>
    </row>
    <row r="18" spans="3:7" ht="20.100000000000001" customHeight="1" thickBot="1" x14ac:dyDescent="0.3">
      <c r="C18" s="1983" t="s">
        <v>687</v>
      </c>
      <c r="D18" s="1984">
        <v>7.0041570906305157E-3</v>
      </c>
      <c r="E18" s="1984">
        <v>6.7605385095772519E-3</v>
      </c>
      <c r="F18" s="1984">
        <v>6.620443154995331E-3</v>
      </c>
      <c r="G18" s="1984">
        <v>6.2934130329583308E-3</v>
      </c>
    </row>
    <row r="19" spans="3:7" ht="20.100000000000001" customHeight="1" thickBot="1" x14ac:dyDescent="0.3">
      <c r="C19" s="1983" t="s">
        <v>686</v>
      </c>
      <c r="D19" s="1984">
        <v>2.3249333593525243E-2</v>
      </c>
      <c r="E19" s="1984">
        <v>2.26585826988192E-2</v>
      </c>
      <c r="F19" s="1984">
        <v>2.2555125672563764E-2</v>
      </c>
      <c r="G19" s="1984">
        <v>2.2011958049783533E-2</v>
      </c>
    </row>
    <row r="20" spans="3:7" ht="20.100000000000001" customHeight="1" thickBot="1" x14ac:dyDescent="0.3">
      <c r="C20" s="1988" t="s">
        <v>804</v>
      </c>
      <c r="D20" s="1989">
        <v>11556523</v>
      </c>
      <c r="E20" s="1989">
        <v>11864691</v>
      </c>
      <c r="F20" s="1989">
        <v>12399951</v>
      </c>
      <c r="G20" s="1989">
        <v>12588991</v>
      </c>
    </row>
    <row r="21" spans="3:7" ht="20.100000000000001" customHeight="1" thickBot="1" x14ac:dyDescent="0.3">
      <c r="C21" s="1988" t="s">
        <v>814</v>
      </c>
      <c r="D21" s="1984">
        <v>0.31758138701475852</v>
      </c>
      <c r="E21" s="1984">
        <v>0.32653225866567132</v>
      </c>
      <c r="F21" s="1984">
        <v>0.32840883748227123</v>
      </c>
      <c r="G21" s="1984">
        <v>0.3360050917498893</v>
      </c>
    </row>
    <row r="22" spans="3:7" ht="20.100000000000001" customHeight="1" thickBot="1" x14ac:dyDescent="0.3">
      <c r="C22" s="1983" t="s">
        <v>687</v>
      </c>
      <c r="D22" s="1984">
        <v>7.3862421452260433E-3</v>
      </c>
      <c r="E22" s="1984">
        <v>7.3132475817553584E-3</v>
      </c>
      <c r="F22" s="1984">
        <v>7.1703692353197769E-3</v>
      </c>
      <c r="G22" s="1984">
        <v>6.8288009462372469E-3</v>
      </c>
    </row>
    <row r="23" spans="3:7" ht="20.100000000000001" customHeight="1" thickBot="1" x14ac:dyDescent="0.3">
      <c r="C23" s="1983" t="s">
        <v>686</v>
      </c>
      <c r="D23" s="1984">
        <v>2.4517612242968279E-2</v>
      </c>
      <c r="E23" s="1984">
        <v>2.4511039304545776E-2</v>
      </c>
      <c r="F23" s="1984">
        <v>2.4428663676281735E-2</v>
      </c>
      <c r="G23" s="1984">
        <v>2.3884540736751551E-2</v>
      </c>
    </row>
    <row r="24" spans="3:7" ht="20.100000000000001" customHeight="1" thickBot="1" x14ac:dyDescent="0.3">
      <c r="C24" s="1988" t="s">
        <v>813</v>
      </c>
      <c r="D24" s="1990">
        <v>12186945</v>
      </c>
      <c r="E24" s="1990">
        <v>12834691</v>
      </c>
      <c r="F24" s="1990">
        <v>13429951</v>
      </c>
      <c r="G24" s="1990">
        <v>13659951</v>
      </c>
    </row>
    <row r="25" spans="3:7" ht="20.100000000000001" customHeight="1" thickBot="1" x14ac:dyDescent="0.3">
      <c r="C25" s="1639" t="s">
        <v>791</v>
      </c>
      <c r="D25" s="1991">
        <v>73347</v>
      </c>
      <c r="E25" s="1991">
        <v>71300</v>
      </c>
      <c r="F25" s="1991">
        <v>69200</v>
      </c>
      <c r="G25" s="1991">
        <v>67100</v>
      </c>
    </row>
    <row r="26" spans="3:7" ht="32.25" customHeight="1" thickBot="1" x14ac:dyDescent="0.3">
      <c r="C26" s="1639" t="s">
        <v>811</v>
      </c>
      <c r="D26" s="1992">
        <f>D33/D25</f>
        <v>99.597843129235002</v>
      </c>
      <c r="E26" s="1992">
        <f>E33/E25</f>
        <v>104.41736325385695</v>
      </c>
      <c r="F26" s="1992">
        <f>F33/F25</f>
        <v>113.72771676300577</v>
      </c>
      <c r="G26" s="1992">
        <f>G33/G25</f>
        <v>120.10429210134129</v>
      </c>
    </row>
    <row r="27" spans="3:7" ht="20.100000000000001" customHeight="1" thickBot="1" x14ac:dyDescent="0.3">
      <c r="C27" s="1993" t="s">
        <v>810</v>
      </c>
      <c r="D27" s="1994">
        <v>34208</v>
      </c>
      <c r="E27" s="1994">
        <v>32100</v>
      </c>
      <c r="F27" s="1994">
        <v>31000</v>
      </c>
      <c r="G27" s="1994">
        <v>30000</v>
      </c>
    </row>
    <row r="28" spans="3:7" ht="20.100000000000001" customHeight="1" thickBot="1" x14ac:dyDescent="0.3">
      <c r="C28" s="1993" t="s">
        <v>809</v>
      </c>
      <c r="D28" s="1994">
        <v>107555</v>
      </c>
      <c r="E28" s="1994">
        <v>103400</v>
      </c>
      <c r="F28" s="1994">
        <v>100200</v>
      </c>
      <c r="G28" s="1994">
        <v>97100</v>
      </c>
    </row>
    <row r="29" spans="3:7" ht="20.100000000000001" customHeight="1" thickBot="1" x14ac:dyDescent="0.3">
      <c r="C29" s="1639" t="s">
        <v>808</v>
      </c>
      <c r="D29" s="1992">
        <f>D34/D28</f>
        <v>107.4475663613965</v>
      </c>
      <c r="E29" s="1992">
        <f>E34/E28</f>
        <v>114.74556092843326</v>
      </c>
      <c r="F29" s="1992">
        <f>F34/F28</f>
        <v>123.75200598802395</v>
      </c>
      <c r="G29" s="1992">
        <f>G34/G28</f>
        <v>129.64975283213181</v>
      </c>
    </row>
    <row r="30" spans="3:7" ht="20.100000000000001" customHeight="1" thickBot="1" x14ac:dyDescent="0.3">
      <c r="C30" s="1993" t="s">
        <v>807</v>
      </c>
      <c r="D30" s="1994">
        <v>3600</v>
      </c>
      <c r="E30" s="1994">
        <v>3700</v>
      </c>
      <c r="F30" s="1994">
        <v>3800</v>
      </c>
      <c r="G30" s="1994">
        <v>3900</v>
      </c>
    </row>
    <row r="31" spans="3:7" ht="30.75" customHeight="1" thickBot="1" x14ac:dyDescent="0.3">
      <c r="C31" s="1993" t="s">
        <v>806</v>
      </c>
      <c r="D31" s="1994">
        <v>4680</v>
      </c>
      <c r="E31" s="1994">
        <v>4810</v>
      </c>
      <c r="F31" s="1994">
        <v>4940</v>
      </c>
      <c r="G31" s="1994">
        <v>5070</v>
      </c>
    </row>
    <row r="32" spans="3:7" ht="20.100000000000001" customHeight="1" thickBot="1" x14ac:dyDescent="0.3">
      <c r="C32" s="1993" t="s">
        <v>964</v>
      </c>
      <c r="D32" s="1995">
        <f>D33/D34</f>
        <v>0.63212810635171146</v>
      </c>
      <c r="E32" s="1995">
        <f t="shared" ref="E32:G32" si="0">E33/E34</f>
        <v>0.62748857092022037</v>
      </c>
      <c r="F32" s="1995">
        <f t="shared" si="0"/>
        <v>0.63467654025407039</v>
      </c>
      <c r="G32" s="1995">
        <f t="shared" si="0"/>
        <v>0.64016234502034353</v>
      </c>
    </row>
    <row r="33" spans="3:7" ht="20.100000000000001" customHeight="1" thickBot="1" x14ac:dyDescent="0.3">
      <c r="C33" s="1993" t="s">
        <v>805</v>
      </c>
      <c r="D33" s="1989">
        <v>7305203</v>
      </c>
      <c r="E33" s="1989">
        <v>7444958</v>
      </c>
      <c r="F33" s="1989">
        <v>7869958</v>
      </c>
      <c r="G33" s="1989">
        <v>8058998</v>
      </c>
    </row>
    <row r="34" spans="3:7" ht="20.100000000000001" customHeight="1" thickBot="1" x14ac:dyDescent="0.3">
      <c r="C34" s="1993" t="s">
        <v>804</v>
      </c>
      <c r="D34" s="1989">
        <v>11556523</v>
      </c>
      <c r="E34" s="1989">
        <v>11864691</v>
      </c>
      <c r="F34" s="1989">
        <v>12399951</v>
      </c>
      <c r="G34" s="1989">
        <v>12588991</v>
      </c>
    </row>
    <row r="35" spans="3:7" ht="104.25" customHeight="1" thickBot="1" x14ac:dyDescent="0.3">
      <c r="C35" s="1673" t="s">
        <v>12</v>
      </c>
      <c r="D35" s="2619" t="s">
        <v>812</v>
      </c>
      <c r="E35" s="2620"/>
      <c r="F35" s="2620"/>
      <c r="G35" s="2621"/>
    </row>
    <row r="36" spans="3:7" ht="20.100000000000001" customHeight="1" thickBot="1" x14ac:dyDescent="0.3">
      <c r="C36" s="2739" t="s">
        <v>120</v>
      </c>
      <c r="D36" s="2740"/>
      <c r="E36" s="2740"/>
      <c r="F36" s="2740"/>
      <c r="G36" s="2741"/>
    </row>
    <row r="37" spans="3:7" ht="20.100000000000001" customHeight="1" x14ac:dyDescent="0.25">
      <c r="C37" s="2755"/>
      <c r="D37" s="1645">
        <v>2018</v>
      </c>
      <c r="E37" s="1645">
        <v>2019</v>
      </c>
      <c r="F37" s="1645">
        <v>2020</v>
      </c>
      <c r="G37" s="1645">
        <v>2021</v>
      </c>
    </row>
    <row r="38" spans="3:7" ht="20.100000000000001" customHeight="1" thickBot="1" x14ac:dyDescent="0.3">
      <c r="C38" s="2756"/>
      <c r="D38" s="1646" t="s">
        <v>6</v>
      </c>
      <c r="E38" s="1646" t="s">
        <v>7</v>
      </c>
      <c r="F38" s="1646" t="s">
        <v>7</v>
      </c>
      <c r="G38" s="1646" t="s">
        <v>7</v>
      </c>
    </row>
    <row r="39" spans="3:7" ht="20.100000000000001" customHeight="1" thickBot="1" x14ac:dyDescent="0.3">
      <c r="C39" s="1996"/>
      <c r="D39" s="1998">
        <v>2018</v>
      </c>
      <c r="E39" s="1998">
        <v>2019</v>
      </c>
      <c r="F39" s="1998">
        <v>2020</v>
      </c>
      <c r="G39" s="1998">
        <v>2021</v>
      </c>
    </row>
    <row r="40" spans="3:7" ht="20.100000000000001" customHeight="1" thickBot="1" x14ac:dyDescent="0.3">
      <c r="C40" s="1997" t="s">
        <v>791</v>
      </c>
      <c r="D40" s="1991">
        <v>73347</v>
      </c>
      <c r="E40" s="1991">
        <v>71300</v>
      </c>
      <c r="F40" s="1991">
        <v>69200</v>
      </c>
      <c r="G40" s="1991">
        <v>67100</v>
      </c>
    </row>
    <row r="41" spans="3:7" ht="20.100000000000001" customHeight="1" thickBot="1" x14ac:dyDescent="0.3">
      <c r="C41" s="1997" t="s">
        <v>811</v>
      </c>
      <c r="D41" s="1992">
        <f>D47/D40</f>
        <v>99.597843129235002</v>
      </c>
      <c r="E41" s="1992">
        <f>E47/E40</f>
        <v>104.41736325385695</v>
      </c>
      <c r="F41" s="1992">
        <f>F47/F40</f>
        <v>113.72771676300577</v>
      </c>
      <c r="G41" s="1992">
        <f>G47/G40</f>
        <v>120.10429210134129</v>
      </c>
    </row>
    <row r="42" spans="3:7" ht="20.100000000000001" customHeight="1" thickBot="1" x14ac:dyDescent="0.3">
      <c r="C42" s="1997" t="s">
        <v>810</v>
      </c>
      <c r="D42" s="1991">
        <v>34208</v>
      </c>
      <c r="E42" s="1991">
        <v>32100</v>
      </c>
      <c r="F42" s="1991">
        <v>31000</v>
      </c>
      <c r="G42" s="1991">
        <v>30000</v>
      </c>
    </row>
    <row r="43" spans="3:7" ht="20.100000000000001" customHeight="1" thickBot="1" x14ac:dyDescent="0.3">
      <c r="C43" s="1997" t="s">
        <v>809</v>
      </c>
      <c r="D43" s="1991">
        <v>107555</v>
      </c>
      <c r="E43" s="1991">
        <v>103400</v>
      </c>
      <c r="F43" s="1991">
        <v>100200</v>
      </c>
      <c r="G43" s="1991">
        <v>97100</v>
      </c>
    </row>
    <row r="44" spans="3:7" ht="20.100000000000001" customHeight="1" thickBot="1" x14ac:dyDescent="0.3">
      <c r="C44" s="1997" t="s">
        <v>808</v>
      </c>
      <c r="D44" s="1992">
        <f>D48/D43</f>
        <v>107.4475663613965</v>
      </c>
      <c r="E44" s="1992">
        <f>E48/E43</f>
        <v>114.74556092843326</v>
      </c>
      <c r="F44" s="1992">
        <f>F48/F43</f>
        <v>123.75200598802395</v>
      </c>
      <c r="G44" s="1992">
        <f>G48/G43</f>
        <v>129.64975283213181</v>
      </c>
    </row>
    <row r="45" spans="3:7" ht="20.100000000000001" customHeight="1" thickBot="1" x14ac:dyDescent="0.3">
      <c r="C45" s="1997" t="s">
        <v>807</v>
      </c>
      <c r="D45" s="1991">
        <v>3600</v>
      </c>
      <c r="E45" s="1991">
        <v>3700</v>
      </c>
      <c r="F45" s="1991">
        <v>3800</v>
      </c>
      <c r="G45" s="1991">
        <v>3900</v>
      </c>
    </row>
    <row r="46" spans="3:7" ht="20.100000000000001" customHeight="1" thickBot="1" x14ac:dyDescent="0.3">
      <c r="C46" s="1997" t="s">
        <v>806</v>
      </c>
      <c r="D46" s="1991">
        <v>4680</v>
      </c>
      <c r="E46" s="1991">
        <v>4810</v>
      </c>
      <c r="F46" s="1991">
        <v>4940</v>
      </c>
      <c r="G46" s="1991">
        <v>5070</v>
      </c>
    </row>
    <row r="47" spans="3:7" ht="20.100000000000001" customHeight="1" thickBot="1" x14ac:dyDescent="0.3">
      <c r="C47" s="1997" t="s">
        <v>805</v>
      </c>
      <c r="D47" s="1986">
        <v>7305203</v>
      </c>
      <c r="E47" s="1986">
        <v>7444958</v>
      </c>
      <c r="F47" s="1986">
        <v>7869958</v>
      </c>
      <c r="G47" s="1986">
        <v>8058998</v>
      </c>
    </row>
    <row r="48" spans="3:7" ht="20.100000000000001" customHeight="1" thickBot="1" x14ac:dyDescent="0.3">
      <c r="C48" s="1997" t="s">
        <v>804</v>
      </c>
      <c r="D48" s="1986">
        <v>11556523</v>
      </c>
      <c r="E48" s="1986">
        <v>11864691</v>
      </c>
      <c r="F48" s="1986">
        <v>12399951</v>
      </c>
      <c r="G48" s="1986">
        <v>12588991</v>
      </c>
    </row>
    <row r="49" spans="3:7" ht="20.100000000000001" customHeight="1" thickBot="1" x14ac:dyDescent="0.3">
      <c r="C49" s="1655" t="s">
        <v>1178</v>
      </c>
      <c r="D49" s="1674" t="s">
        <v>802</v>
      </c>
      <c r="E49" s="1674"/>
      <c r="F49" s="1674"/>
      <c r="G49" s="1674"/>
    </row>
    <row r="50" spans="3:7" ht="20.100000000000001" customHeight="1" thickBot="1" x14ac:dyDescent="0.3">
      <c r="C50" s="1644" t="s">
        <v>10</v>
      </c>
      <c r="D50" s="2739" t="s">
        <v>803</v>
      </c>
      <c r="E50" s="2740"/>
      <c r="F50" s="2740"/>
      <c r="G50" s="2741"/>
    </row>
    <row r="51" spans="3:7" ht="20.100000000000001" customHeight="1" thickBot="1" x14ac:dyDescent="0.3">
      <c r="C51" s="1644" t="s">
        <v>13</v>
      </c>
      <c r="D51" s="2752" t="s">
        <v>802</v>
      </c>
      <c r="E51" s="2753"/>
      <c r="F51" s="2753"/>
      <c r="G51" s="2754"/>
    </row>
    <row r="52" spans="3:7" ht="20.100000000000001" customHeight="1" x14ac:dyDescent="0.25">
      <c r="C52" s="2755"/>
      <c r="D52" s="1645">
        <v>2018</v>
      </c>
      <c r="E52" s="1645">
        <v>2019</v>
      </c>
      <c r="F52" s="1645">
        <v>2020</v>
      </c>
      <c r="G52" s="1645">
        <v>2021</v>
      </c>
    </row>
    <row r="53" spans="3:7" ht="20.100000000000001" customHeight="1" thickBot="1" x14ac:dyDescent="0.3">
      <c r="C53" s="2756"/>
      <c r="D53" s="1646" t="s">
        <v>6</v>
      </c>
      <c r="E53" s="1646" t="s">
        <v>7</v>
      </c>
      <c r="F53" s="1646" t="s">
        <v>7</v>
      </c>
      <c r="G53" s="1646" t="s">
        <v>7</v>
      </c>
    </row>
    <row r="54" spans="3:7" ht="20.100000000000001" customHeight="1" thickBot="1" x14ac:dyDescent="0.3">
      <c r="C54" s="1644" t="s">
        <v>9</v>
      </c>
      <c r="D54" s="1991">
        <v>73347</v>
      </c>
      <c r="E54" s="1991">
        <v>71300</v>
      </c>
      <c r="F54" s="1991">
        <v>69200</v>
      </c>
      <c r="G54" s="1991">
        <v>67100</v>
      </c>
    </row>
    <row r="55" spans="3:7" ht="20.100000000000001" customHeight="1" thickBot="1" x14ac:dyDescent="0.3">
      <c r="C55" s="1644" t="s">
        <v>14</v>
      </c>
      <c r="D55" s="1986">
        <v>6071600</v>
      </c>
      <c r="E55" s="1986">
        <v>6089958</v>
      </c>
      <c r="F55" s="1986">
        <v>6312958</v>
      </c>
      <c r="G55" s="1986">
        <v>6500998</v>
      </c>
    </row>
    <row r="56" spans="3:7" ht="20.100000000000001" customHeight="1" thickBot="1" x14ac:dyDescent="0.3">
      <c r="C56" s="1644" t="s">
        <v>23</v>
      </c>
      <c r="D56" s="1990">
        <f>D55/D54</f>
        <v>82.779118437018553</v>
      </c>
      <c r="E56" s="1990">
        <f>E55/E54</f>
        <v>85.413155680224406</v>
      </c>
      <c r="F56" s="1990">
        <f>F55/F54</f>
        <v>91.227716763005773</v>
      </c>
      <c r="G56" s="1990">
        <f>G55/G54</f>
        <v>96.885216095380031</v>
      </c>
    </row>
    <row r="57" spans="3:7" ht="20.100000000000001" customHeight="1" thickBot="1" x14ac:dyDescent="0.3">
      <c r="C57" s="1644" t="s">
        <v>15</v>
      </c>
      <c r="D57" s="1999"/>
      <c r="E57" s="1995">
        <f t="shared" ref="E57:G59" si="1">E54/D54-1</f>
        <v>-2.7908435246158714E-2</v>
      </c>
      <c r="F57" s="1995">
        <f t="shared" si="1"/>
        <v>-2.9453015427770013E-2</v>
      </c>
      <c r="G57" s="1995">
        <f t="shared" si="1"/>
        <v>-3.0346820809248554E-2</v>
      </c>
    </row>
    <row r="58" spans="3:7" ht="20.100000000000001" customHeight="1" thickBot="1" x14ac:dyDescent="0.3">
      <c r="C58" s="1644" t="s">
        <v>16</v>
      </c>
      <c r="D58" s="1999"/>
      <c r="E58" s="1995">
        <f t="shared" si="1"/>
        <v>3.0235852164173238E-3</v>
      </c>
      <c r="F58" s="1995">
        <f t="shared" si="1"/>
        <v>3.6617658118496044E-2</v>
      </c>
      <c r="G58" s="1995">
        <f t="shared" si="1"/>
        <v>2.9786353718811442E-2</v>
      </c>
    </row>
    <row r="59" spans="3:7" ht="20.100000000000001" customHeight="1" thickBot="1" x14ac:dyDescent="0.3">
      <c r="C59" s="1644" t="s">
        <v>17</v>
      </c>
      <c r="D59" s="1999"/>
      <c r="E59" s="1995">
        <f t="shared" si="1"/>
        <v>3.1820068791985623E-2</v>
      </c>
      <c r="F59" s="1995">
        <f t="shared" si="1"/>
        <v>6.8075708437120852E-2</v>
      </c>
      <c r="G59" s="1995">
        <f t="shared" si="1"/>
        <v>6.2015136771114143E-2</v>
      </c>
    </row>
    <row r="60" spans="3:7" ht="20.100000000000001" customHeight="1" thickBot="1" x14ac:dyDescent="0.3">
      <c r="C60" s="1648" t="s">
        <v>1176</v>
      </c>
      <c r="D60" s="1649"/>
      <c r="E60" s="1649"/>
      <c r="F60" s="1649"/>
      <c r="G60" s="1650"/>
    </row>
    <row r="61" spans="3:7" ht="20.100000000000001" customHeight="1" x14ac:dyDescent="0.25">
      <c r="C61" s="1651"/>
      <c r="D61" s="1652">
        <v>2018</v>
      </c>
      <c r="E61" s="1652">
        <v>2019</v>
      </c>
      <c r="F61" s="1652">
        <v>2020</v>
      </c>
      <c r="G61" s="1652">
        <v>2021</v>
      </c>
    </row>
    <row r="62" spans="3:7" ht="20.100000000000001" customHeight="1" thickBot="1" x14ac:dyDescent="0.3">
      <c r="C62" s="1644"/>
      <c r="D62" s="1653" t="s">
        <v>6</v>
      </c>
      <c r="E62" s="1653" t="s">
        <v>7</v>
      </c>
      <c r="F62" s="1653" t="s">
        <v>7</v>
      </c>
      <c r="G62" s="1653" t="s">
        <v>7</v>
      </c>
    </row>
    <row r="63" spans="3:7" ht="20.100000000000001" customHeight="1" thickBot="1" x14ac:dyDescent="0.3">
      <c r="C63" s="1644" t="s">
        <v>0</v>
      </c>
      <c r="D63" s="1654">
        <v>59000</v>
      </c>
      <c r="E63" s="1654">
        <v>0</v>
      </c>
      <c r="F63" s="1654">
        <v>0</v>
      </c>
      <c r="G63" s="1654">
        <v>0</v>
      </c>
    </row>
    <row r="64" spans="3:7" ht="20.100000000000001" customHeight="1" thickBot="1" x14ac:dyDescent="0.3">
      <c r="C64" s="1644" t="s">
        <v>49</v>
      </c>
      <c r="D64" s="1654">
        <f>3030+3550</f>
        <v>6580</v>
      </c>
      <c r="E64" s="1654">
        <v>0</v>
      </c>
      <c r="F64" s="1654">
        <v>0</v>
      </c>
      <c r="G64" s="1654">
        <v>0</v>
      </c>
    </row>
    <row r="65" spans="3:7" ht="20.100000000000001" customHeight="1" thickBot="1" x14ac:dyDescent="0.3">
      <c r="C65" s="1644" t="s">
        <v>1</v>
      </c>
      <c r="D65" s="1654">
        <v>56020</v>
      </c>
      <c r="E65" s="1654">
        <v>0</v>
      </c>
      <c r="F65" s="1654">
        <v>0</v>
      </c>
      <c r="G65" s="1654">
        <v>0</v>
      </c>
    </row>
    <row r="66" spans="3:7" ht="20.100000000000001" customHeight="1" thickBot="1" x14ac:dyDescent="0.3">
      <c r="C66" s="1644" t="s">
        <v>2</v>
      </c>
      <c r="D66" s="1654">
        <v>0</v>
      </c>
      <c r="E66" s="1654">
        <v>0</v>
      </c>
      <c r="F66" s="1654">
        <v>0</v>
      </c>
      <c r="G66" s="1654">
        <v>0</v>
      </c>
    </row>
    <row r="67" spans="3:7" ht="20.100000000000001" customHeight="1" thickBot="1" x14ac:dyDescent="0.3">
      <c r="C67" s="1644" t="s">
        <v>28</v>
      </c>
      <c r="D67" s="1642">
        <v>5950000</v>
      </c>
      <c r="E67" s="1642">
        <v>6089958</v>
      </c>
      <c r="F67" s="1642">
        <v>6312958</v>
      </c>
      <c r="G67" s="1642">
        <f>8058998-1558000</f>
        <v>6500998</v>
      </c>
    </row>
    <row r="68" spans="3:7" ht="20.100000000000001" customHeight="1" thickBot="1" x14ac:dyDescent="0.3">
      <c r="C68" s="1644" t="s">
        <v>30</v>
      </c>
      <c r="D68" s="1654">
        <v>0</v>
      </c>
      <c r="E68" s="1654">
        <v>0</v>
      </c>
      <c r="F68" s="1654">
        <v>0</v>
      </c>
      <c r="G68" s="1654">
        <v>0</v>
      </c>
    </row>
    <row r="69" spans="3:7" ht="20.100000000000001" customHeight="1" thickBot="1" x14ac:dyDescent="0.3">
      <c r="C69" s="1644" t="s">
        <v>3</v>
      </c>
      <c r="D69" s="1654">
        <v>0</v>
      </c>
      <c r="E69" s="1654">
        <v>0</v>
      </c>
      <c r="F69" s="1654">
        <v>0</v>
      </c>
      <c r="G69" s="1654">
        <v>0</v>
      </c>
    </row>
    <row r="70" spans="3:7" ht="20.100000000000001" customHeight="1" thickBot="1" x14ac:dyDescent="0.3">
      <c r="C70" s="1675" t="s">
        <v>764</v>
      </c>
      <c r="D70" s="1654">
        <f>SUM(D63:D69)</f>
        <v>6071600</v>
      </c>
      <c r="E70" s="1654">
        <f>SUM(E63:E69)</f>
        <v>6089958</v>
      </c>
      <c r="F70" s="1654">
        <f>SUM(F63:F69)</f>
        <v>6312958</v>
      </c>
      <c r="G70" s="1654">
        <f>SUM(G63:G69)</f>
        <v>6500998</v>
      </c>
    </row>
    <row r="71" spans="3:7" ht="20.100000000000001" customHeight="1" thickBot="1" x14ac:dyDescent="0.3">
      <c r="C71" s="1655" t="s">
        <v>70</v>
      </c>
      <c r="D71" s="1656">
        <f>D70-D55</f>
        <v>0</v>
      </c>
      <c r="E71" s="1656">
        <f>E70-E55</f>
        <v>0</v>
      </c>
      <c r="F71" s="1656">
        <f>F70-F55</f>
        <v>0</v>
      </c>
      <c r="G71" s="1656">
        <f>G70-G55</f>
        <v>0</v>
      </c>
    </row>
    <row r="72" spans="3:7" ht="115.5" customHeight="1" thickBot="1" x14ac:dyDescent="0.3">
      <c r="C72" s="1673" t="s">
        <v>22</v>
      </c>
      <c r="D72" s="2761" t="s">
        <v>800</v>
      </c>
      <c r="E72" s="2628"/>
      <c r="F72" s="2628"/>
      <c r="G72" s="2762"/>
    </row>
    <row r="73" spans="3:7" ht="20.100000000000001" customHeight="1" thickBot="1" x14ac:dyDescent="0.3">
      <c r="C73" s="2739" t="s">
        <v>495</v>
      </c>
      <c r="D73" s="2740"/>
      <c r="E73" s="2740"/>
      <c r="F73" s="2740"/>
      <c r="G73" s="2741"/>
    </row>
    <row r="74" spans="3:7" ht="20.100000000000001" customHeight="1" x14ac:dyDescent="0.25">
      <c r="C74" s="1651"/>
      <c r="D74" s="1652">
        <v>2018</v>
      </c>
      <c r="E74" s="1652">
        <v>2019</v>
      </c>
      <c r="F74" s="1652">
        <v>2020</v>
      </c>
      <c r="G74" s="1652">
        <v>2021</v>
      </c>
    </row>
    <row r="75" spans="3:7" ht="20.100000000000001" customHeight="1" thickBot="1" x14ac:dyDescent="0.3">
      <c r="C75" s="1644"/>
      <c r="D75" s="1653" t="s">
        <v>6</v>
      </c>
      <c r="E75" s="1653" t="s">
        <v>7</v>
      </c>
      <c r="F75" s="1653" t="s">
        <v>7</v>
      </c>
      <c r="G75" s="1653" t="s">
        <v>7</v>
      </c>
    </row>
    <row r="76" spans="3:7" ht="20.100000000000001" customHeight="1" thickBot="1" x14ac:dyDescent="0.3">
      <c r="C76" s="2000"/>
      <c r="D76" s="2001">
        <v>2018</v>
      </c>
      <c r="E76" s="2001">
        <v>2019</v>
      </c>
      <c r="F76" s="2001">
        <v>2020</v>
      </c>
      <c r="G76" s="2001">
        <v>2021</v>
      </c>
    </row>
    <row r="77" spans="3:7" ht="20.100000000000001" customHeight="1" thickBot="1" x14ac:dyDescent="0.3">
      <c r="C77" s="2002" t="s">
        <v>799</v>
      </c>
      <c r="D77" s="2003">
        <v>36</v>
      </c>
      <c r="E77" s="2003">
        <v>40</v>
      </c>
      <c r="F77" s="2003">
        <v>40</v>
      </c>
      <c r="G77" s="2003">
        <v>40</v>
      </c>
    </row>
    <row r="78" spans="3:7" ht="20.100000000000001" customHeight="1" thickBot="1" x14ac:dyDescent="0.3">
      <c r="C78" s="2002" t="s">
        <v>798</v>
      </c>
      <c r="D78" s="2003">
        <v>39</v>
      </c>
      <c r="E78" s="2003">
        <v>40</v>
      </c>
      <c r="F78" s="2003">
        <v>40</v>
      </c>
      <c r="G78" s="2003">
        <v>40</v>
      </c>
    </row>
    <row r="79" spans="3:7" ht="38.25" customHeight="1" thickBot="1" x14ac:dyDescent="0.3">
      <c r="C79" s="2004" t="s">
        <v>797</v>
      </c>
      <c r="D79" s="2003">
        <v>237</v>
      </c>
      <c r="E79" s="2003">
        <v>350</v>
      </c>
      <c r="F79" s="2003">
        <v>400</v>
      </c>
      <c r="G79" s="2003">
        <v>513</v>
      </c>
    </row>
    <row r="80" spans="3:7" ht="32.25" customHeight="1" thickBot="1" x14ac:dyDescent="0.3">
      <c r="C80" s="2004" t="s">
        <v>796</v>
      </c>
      <c r="D80" s="2003">
        <v>1128</v>
      </c>
      <c r="E80" s="2003">
        <v>1300</v>
      </c>
      <c r="F80" s="2003">
        <v>1400</v>
      </c>
      <c r="G80" s="2003">
        <v>1500</v>
      </c>
    </row>
    <row r="81" spans="3:7" ht="20.100000000000001" customHeight="1" thickBot="1" x14ac:dyDescent="0.3">
      <c r="C81" s="2005"/>
      <c r="D81" s="2003"/>
      <c r="E81" s="2003"/>
      <c r="F81" s="2003"/>
      <c r="G81" s="2003"/>
    </row>
    <row r="82" spans="3:7" ht="20.100000000000001" customHeight="1" thickBot="1" x14ac:dyDescent="0.3">
      <c r="C82" s="1655" t="s">
        <v>669</v>
      </c>
      <c r="D82" s="2757" t="s">
        <v>1179</v>
      </c>
      <c r="E82" s="2758"/>
      <c r="F82" s="2758"/>
      <c r="G82" s="2759"/>
    </row>
    <row r="83" spans="3:7" ht="112.5" customHeight="1" thickBot="1" x14ac:dyDescent="0.3">
      <c r="C83" s="1644" t="s">
        <v>10</v>
      </c>
      <c r="D83" s="2739" t="s">
        <v>795</v>
      </c>
      <c r="E83" s="2740"/>
      <c r="F83" s="2740"/>
      <c r="G83" s="2741"/>
    </row>
    <row r="84" spans="3:7" ht="20.100000000000001" customHeight="1" thickBot="1" x14ac:dyDescent="0.3">
      <c r="C84" s="1644" t="s">
        <v>13</v>
      </c>
      <c r="D84" s="2752" t="s">
        <v>794</v>
      </c>
      <c r="E84" s="2753"/>
      <c r="F84" s="2753"/>
      <c r="G84" s="2754"/>
    </row>
    <row r="85" spans="3:7" ht="20.100000000000001" customHeight="1" x14ac:dyDescent="0.25">
      <c r="C85" s="2755"/>
      <c r="D85" s="1645">
        <v>2018</v>
      </c>
      <c r="E85" s="1645">
        <v>2019</v>
      </c>
      <c r="F85" s="1645">
        <v>2020</v>
      </c>
      <c r="G85" s="1645">
        <v>2021</v>
      </c>
    </row>
    <row r="86" spans="3:7" ht="20.100000000000001" customHeight="1" thickBot="1" x14ac:dyDescent="0.3">
      <c r="C86" s="2772"/>
      <c r="D86" s="1645" t="s">
        <v>6</v>
      </c>
      <c r="E86" s="1645" t="s">
        <v>7</v>
      </c>
      <c r="F86" s="1645" t="s">
        <v>7</v>
      </c>
      <c r="G86" s="1645" t="s">
        <v>7</v>
      </c>
    </row>
    <row r="87" spans="3:7" ht="20.100000000000001" customHeight="1" thickBot="1" x14ac:dyDescent="0.3">
      <c r="C87" s="1657" t="s">
        <v>793</v>
      </c>
      <c r="D87" s="1991">
        <v>237</v>
      </c>
      <c r="E87" s="1991">
        <v>350</v>
      </c>
      <c r="F87" s="1991">
        <v>400</v>
      </c>
      <c r="G87" s="1991">
        <v>513</v>
      </c>
    </row>
    <row r="88" spans="3:7" ht="20.100000000000001" customHeight="1" thickBot="1" x14ac:dyDescent="0.3">
      <c r="C88" s="1658" t="s">
        <v>14</v>
      </c>
      <c r="D88" s="1990">
        <v>23603</v>
      </c>
      <c r="E88" s="1990">
        <v>25000</v>
      </c>
      <c r="F88" s="1990">
        <v>27000</v>
      </c>
      <c r="G88" s="1990">
        <v>28000</v>
      </c>
    </row>
    <row r="89" spans="3:7" ht="20.100000000000001" customHeight="1" thickBot="1" x14ac:dyDescent="0.3">
      <c r="C89" s="1658" t="s">
        <v>23</v>
      </c>
      <c r="D89" s="1990">
        <f>D88/D87</f>
        <v>99.59071729957806</v>
      </c>
      <c r="E89" s="1990">
        <f>E88/E87</f>
        <v>71.428571428571431</v>
      </c>
      <c r="F89" s="1990">
        <f>F88/F87</f>
        <v>67.5</v>
      </c>
      <c r="G89" s="1990">
        <f>G88/G87</f>
        <v>54.580896686159846</v>
      </c>
    </row>
    <row r="90" spans="3:7" ht="20.100000000000001" customHeight="1" thickBot="1" x14ac:dyDescent="0.3">
      <c r="C90" s="1658" t="s">
        <v>15</v>
      </c>
      <c r="D90" s="1999"/>
      <c r="E90" s="1995">
        <f t="shared" ref="E90:G92" si="2">E87/D87-1</f>
        <v>0.47679324894514763</v>
      </c>
      <c r="F90" s="1995">
        <f t="shared" si="2"/>
        <v>0.14285714285714279</v>
      </c>
      <c r="G90" s="1995">
        <f t="shared" si="2"/>
        <v>0.28249999999999997</v>
      </c>
    </row>
    <row r="91" spans="3:7" ht="20.100000000000001" customHeight="1" thickBot="1" x14ac:dyDescent="0.3">
      <c r="C91" s="1658" t="s">
        <v>16</v>
      </c>
      <c r="D91" s="1999"/>
      <c r="E91" s="1995">
        <f t="shared" si="2"/>
        <v>5.9187391433292325E-2</v>
      </c>
      <c r="F91" s="1995">
        <f t="shared" si="2"/>
        <v>8.0000000000000071E-2</v>
      </c>
      <c r="G91" s="1995">
        <f t="shared" si="2"/>
        <v>3.7037037037036979E-2</v>
      </c>
    </row>
    <row r="92" spans="3:7" ht="20.100000000000001" customHeight="1" thickBot="1" x14ac:dyDescent="0.3">
      <c r="C92" s="1659" t="s">
        <v>17</v>
      </c>
      <c r="D92" s="1999"/>
      <c r="E92" s="1995">
        <f t="shared" si="2"/>
        <v>-0.28277882351517059</v>
      </c>
      <c r="F92" s="1995">
        <f t="shared" si="2"/>
        <v>-5.5000000000000049E-2</v>
      </c>
      <c r="G92" s="1995">
        <f t="shared" si="2"/>
        <v>-0.19139412316800231</v>
      </c>
    </row>
    <row r="93" spans="3:7" ht="20.100000000000001" customHeight="1" thickBot="1" x14ac:dyDescent="0.3">
      <c r="C93" s="1660" t="s">
        <v>1177</v>
      </c>
      <c r="D93" s="1661"/>
      <c r="E93" s="1661"/>
      <c r="F93" s="1661"/>
      <c r="G93" s="1662"/>
    </row>
    <row r="94" spans="3:7" ht="20.100000000000001" customHeight="1" x14ac:dyDescent="0.25">
      <c r="C94" s="1651"/>
      <c r="D94" s="1663">
        <v>2018</v>
      </c>
      <c r="E94" s="1663">
        <v>2019</v>
      </c>
      <c r="F94" s="1663">
        <v>2020</v>
      </c>
      <c r="G94" s="1663">
        <v>2021</v>
      </c>
    </row>
    <row r="95" spans="3:7" ht="20.100000000000001" customHeight="1" thickBot="1" x14ac:dyDescent="0.3">
      <c r="C95" s="1644"/>
      <c r="D95" s="1662" t="s">
        <v>6</v>
      </c>
      <c r="E95" s="1662" t="s">
        <v>7</v>
      </c>
      <c r="F95" s="1662" t="s">
        <v>7</v>
      </c>
      <c r="G95" s="1662" t="s">
        <v>7</v>
      </c>
    </row>
    <row r="96" spans="3:7" ht="20.100000000000001" customHeight="1" thickBot="1" x14ac:dyDescent="0.3">
      <c r="C96" s="1644" t="s">
        <v>0</v>
      </c>
      <c r="D96" s="1654">
        <v>15603</v>
      </c>
      <c r="E96" s="1654"/>
      <c r="F96" s="1654"/>
      <c r="G96" s="1654"/>
    </row>
    <row r="97" spans="3:7" ht="20.100000000000001" customHeight="1" thickBot="1" x14ac:dyDescent="0.3">
      <c r="C97" s="1644" t="s">
        <v>49</v>
      </c>
      <c r="D97" s="1654">
        <v>2500</v>
      </c>
      <c r="E97" s="1654"/>
      <c r="F97" s="1654"/>
      <c r="G97" s="1654"/>
    </row>
    <row r="98" spans="3:7" ht="20.100000000000001" customHeight="1" thickBot="1" x14ac:dyDescent="0.3">
      <c r="C98" s="1644" t="s">
        <v>1</v>
      </c>
      <c r="D98" s="1654">
        <v>5500</v>
      </c>
      <c r="E98" s="1654"/>
      <c r="F98" s="1654"/>
      <c r="G98" s="1654"/>
    </row>
    <row r="99" spans="3:7" ht="20.100000000000001" customHeight="1" thickBot="1" x14ac:dyDescent="0.3">
      <c r="C99" s="1644" t="s">
        <v>2</v>
      </c>
      <c r="D99" s="1654">
        <v>0</v>
      </c>
      <c r="E99" s="1654"/>
      <c r="F99" s="1654"/>
      <c r="G99" s="1654"/>
    </row>
    <row r="100" spans="3:7" ht="20.100000000000001" customHeight="1" thickBot="1" x14ac:dyDescent="0.3">
      <c r="C100" s="1644" t="s">
        <v>28</v>
      </c>
      <c r="D100" s="1654">
        <v>0</v>
      </c>
      <c r="E100" s="1654">
        <f>E88</f>
        <v>25000</v>
      </c>
      <c r="F100" s="1654">
        <f>F88</f>
        <v>27000</v>
      </c>
      <c r="G100" s="1654">
        <f>G88</f>
        <v>28000</v>
      </c>
    </row>
    <row r="101" spans="3:7" ht="20.100000000000001" customHeight="1" thickBot="1" x14ac:dyDescent="0.3">
      <c r="C101" s="1644" t="s">
        <v>30</v>
      </c>
      <c r="D101" s="1654">
        <v>0</v>
      </c>
      <c r="E101" s="1654"/>
      <c r="F101" s="1654"/>
      <c r="G101" s="1654"/>
    </row>
    <row r="102" spans="3:7" ht="20.100000000000001" customHeight="1" thickBot="1" x14ac:dyDescent="0.3">
      <c r="C102" s="1644" t="s">
        <v>3</v>
      </c>
      <c r="D102" s="1654"/>
      <c r="E102" s="1654"/>
      <c r="F102" s="1654"/>
      <c r="G102" s="1654"/>
    </row>
    <row r="103" spans="3:7" ht="20.100000000000001" customHeight="1" thickBot="1" x14ac:dyDescent="0.3">
      <c r="C103" s="1664" t="s">
        <v>68</v>
      </c>
      <c r="D103" s="1654">
        <f>SUM(D96:D102)</f>
        <v>23603</v>
      </c>
      <c r="E103" s="1654">
        <f>SUM(E96:E102)</f>
        <v>25000</v>
      </c>
      <c r="F103" s="1654">
        <f>SUM(F96:F102)</f>
        <v>27000</v>
      </c>
      <c r="G103" s="1654">
        <f>SUM(G96:G102)</f>
        <v>28000</v>
      </c>
    </row>
    <row r="104" spans="3:7" ht="20.100000000000001" customHeight="1" thickBot="1" x14ac:dyDescent="0.3">
      <c r="C104" s="1655" t="s">
        <v>70</v>
      </c>
      <c r="D104" s="1656">
        <f>D103-D88</f>
        <v>0</v>
      </c>
      <c r="E104" s="1656">
        <f>E103-E88</f>
        <v>0</v>
      </c>
      <c r="F104" s="1656">
        <f>F103-F88</f>
        <v>0</v>
      </c>
      <c r="G104" s="1656">
        <f>G103-G88</f>
        <v>0</v>
      </c>
    </row>
    <row r="105" spans="3:7" ht="83.25" customHeight="1" thickBot="1" x14ac:dyDescent="0.3">
      <c r="C105" s="1673" t="s">
        <v>497</v>
      </c>
      <c r="D105" s="2761" t="s">
        <v>792</v>
      </c>
      <c r="E105" s="2628"/>
      <c r="F105" s="2628"/>
      <c r="G105" s="2762"/>
    </row>
    <row r="106" spans="3:7" ht="20.100000000000001" customHeight="1" thickBot="1" x14ac:dyDescent="0.3">
      <c r="C106" s="2739" t="s">
        <v>506</v>
      </c>
      <c r="D106" s="2740"/>
      <c r="E106" s="2740"/>
      <c r="F106" s="2740"/>
      <c r="G106" s="2741"/>
    </row>
    <row r="107" spans="3:7" ht="20.100000000000001" customHeight="1" thickBot="1" x14ac:dyDescent="0.3">
      <c r="C107" s="1993"/>
      <c r="D107" s="1982">
        <v>2018</v>
      </c>
      <c r="E107" s="1982">
        <v>2019</v>
      </c>
      <c r="F107" s="1982">
        <v>2020</v>
      </c>
      <c r="G107" s="1982">
        <v>2021</v>
      </c>
    </row>
    <row r="108" spans="3:7" ht="20.100000000000001" customHeight="1" thickBot="1" x14ac:dyDescent="0.3">
      <c r="C108" s="1993" t="s">
        <v>790</v>
      </c>
      <c r="D108" s="2006" t="s">
        <v>48</v>
      </c>
      <c r="E108" s="2006" t="s">
        <v>42</v>
      </c>
      <c r="F108" s="2006" t="s">
        <v>42</v>
      </c>
      <c r="G108" s="2006" t="s">
        <v>42</v>
      </c>
    </row>
    <row r="109" spans="3:7" ht="20.100000000000001" customHeight="1" thickBot="1" x14ac:dyDescent="0.3">
      <c r="C109" s="1993" t="s">
        <v>791</v>
      </c>
      <c r="D109" s="1991">
        <v>73347</v>
      </c>
      <c r="E109" s="1991">
        <v>71300</v>
      </c>
      <c r="F109" s="1991">
        <v>69200</v>
      </c>
      <c r="G109" s="1991">
        <v>67100</v>
      </c>
    </row>
    <row r="110" spans="3:7" ht="20.100000000000001" customHeight="1" thickBot="1" x14ac:dyDescent="0.3">
      <c r="C110" s="1993" t="s">
        <v>790</v>
      </c>
      <c r="D110" s="2007">
        <v>10</v>
      </c>
      <c r="E110" s="2007">
        <v>12</v>
      </c>
      <c r="F110" s="2007">
        <v>15</v>
      </c>
      <c r="G110" s="2007">
        <v>15</v>
      </c>
    </row>
    <row r="111" spans="3:7" ht="20.100000000000001" customHeight="1" thickBot="1" x14ac:dyDescent="0.3">
      <c r="C111" s="1993" t="s">
        <v>789</v>
      </c>
      <c r="D111" s="2008">
        <v>510000</v>
      </c>
      <c r="E111" s="2008">
        <v>630000</v>
      </c>
      <c r="F111" s="2008">
        <v>830000</v>
      </c>
      <c r="G111" s="2008">
        <v>830000</v>
      </c>
    </row>
    <row r="112" spans="3:7" ht="20.100000000000001" customHeight="1" thickBot="1" x14ac:dyDescent="0.3">
      <c r="C112" s="2773" t="s">
        <v>536</v>
      </c>
      <c r="D112" s="2774"/>
      <c r="E112" s="2774"/>
      <c r="F112" s="2774"/>
      <c r="G112" s="2775"/>
    </row>
    <row r="113" spans="3:7" ht="20.100000000000001" customHeight="1" thickBot="1" x14ac:dyDescent="0.3">
      <c r="C113" s="2749" t="s">
        <v>788</v>
      </c>
      <c r="D113" s="2750"/>
      <c r="E113" s="2750"/>
      <c r="F113" s="2750"/>
      <c r="G113" s="2751"/>
    </row>
    <row r="114" spans="3:7" ht="20.100000000000001" customHeight="1" thickBot="1" x14ac:dyDescent="0.3">
      <c r="C114" s="1655" t="s">
        <v>659</v>
      </c>
      <c r="D114" s="2785" t="s">
        <v>787</v>
      </c>
      <c r="E114" s="2786"/>
      <c r="F114" s="2786"/>
      <c r="G114" s="2787"/>
    </row>
    <row r="115" spans="3:7" ht="34.5" customHeight="1" thickBot="1" x14ac:dyDescent="0.3">
      <c r="C115" s="1644" t="s">
        <v>10</v>
      </c>
      <c r="D115" s="2785" t="s">
        <v>786</v>
      </c>
      <c r="E115" s="2786"/>
      <c r="F115" s="2786"/>
      <c r="G115" s="2787"/>
    </row>
    <row r="116" spans="3:7" ht="20.100000000000001" customHeight="1" thickBot="1" x14ac:dyDescent="0.3">
      <c r="C116" s="1644" t="s">
        <v>13</v>
      </c>
      <c r="D116" s="2763" t="s">
        <v>785</v>
      </c>
      <c r="E116" s="2764"/>
      <c r="F116" s="2764"/>
      <c r="G116" s="2765"/>
    </row>
    <row r="117" spans="3:7" ht="20.100000000000001" customHeight="1" x14ac:dyDescent="0.25">
      <c r="C117" s="2755"/>
      <c r="D117" s="1663">
        <v>2018</v>
      </c>
      <c r="E117" s="1663">
        <v>2019</v>
      </c>
      <c r="F117" s="1663">
        <v>2020</v>
      </c>
      <c r="G117" s="1663">
        <v>2021</v>
      </c>
    </row>
    <row r="118" spans="3:7" ht="20.100000000000001" customHeight="1" thickBot="1" x14ac:dyDescent="0.3">
      <c r="C118" s="2756"/>
      <c r="D118" s="1662" t="s">
        <v>6</v>
      </c>
      <c r="E118" s="1662" t="s">
        <v>7</v>
      </c>
      <c r="F118" s="1662" t="s">
        <v>7</v>
      </c>
      <c r="G118" s="1662" t="s">
        <v>7</v>
      </c>
    </row>
    <row r="119" spans="3:7" ht="20.100000000000001" customHeight="1" thickBot="1" x14ac:dyDescent="0.3">
      <c r="C119" s="1644" t="s">
        <v>9</v>
      </c>
      <c r="D119" s="1665">
        <v>10</v>
      </c>
      <c r="E119" s="1665">
        <v>12</v>
      </c>
      <c r="F119" s="1665">
        <v>15</v>
      </c>
      <c r="G119" s="1665">
        <v>15</v>
      </c>
    </row>
    <row r="120" spans="3:7" ht="20.100000000000001" customHeight="1" thickBot="1" x14ac:dyDescent="0.3">
      <c r="C120" s="1644" t="s">
        <v>14</v>
      </c>
      <c r="D120" s="2009">
        <v>510000</v>
      </c>
      <c r="E120" s="2009">
        <v>630000</v>
      </c>
      <c r="F120" s="2009">
        <v>830000</v>
      </c>
      <c r="G120" s="2009">
        <v>830000</v>
      </c>
    </row>
    <row r="121" spans="3:7" ht="20.100000000000001" customHeight="1" thickBot="1" x14ac:dyDescent="0.3">
      <c r="C121" s="1644" t="s">
        <v>23</v>
      </c>
      <c r="D121" s="2009">
        <f>D120/D119</f>
        <v>51000</v>
      </c>
      <c r="E121" s="2009">
        <f>E120/E119</f>
        <v>52500</v>
      </c>
      <c r="F121" s="2009">
        <f>F120/F119</f>
        <v>55333.333333333336</v>
      </c>
      <c r="G121" s="2009">
        <f>G120/G119</f>
        <v>55333.333333333336</v>
      </c>
    </row>
    <row r="122" spans="3:7" ht="20.100000000000001" customHeight="1" thickBot="1" x14ac:dyDescent="0.3">
      <c r="C122" s="1644" t="s">
        <v>15</v>
      </c>
      <c r="D122" s="1995"/>
      <c r="E122" s="1995">
        <f t="shared" ref="E122:G124" si="3">E119/D119-1</f>
        <v>0.19999999999999996</v>
      </c>
      <c r="F122" s="1995">
        <f t="shared" si="3"/>
        <v>0.25</v>
      </c>
      <c r="G122" s="1995">
        <f t="shared" si="3"/>
        <v>0</v>
      </c>
    </row>
    <row r="123" spans="3:7" ht="20.100000000000001" customHeight="1" thickBot="1" x14ac:dyDescent="0.3">
      <c r="C123" s="1644" t="s">
        <v>16</v>
      </c>
      <c r="D123" s="1995"/>
      <c r="E123" s="1995">
        <f t="shared" si="3"/>
        <v>0.23529411764705888</v>
      </c>
      <c r="F123" s="1995">
        <f t="shared" si="3"/>
        <v>0.31746031746031744</v>
      </c>
      <c r="G123" s="1995">
        <f t="shared" si="3"/>
        <v>0</v>
      </c>
    </row>
    <row r="124" spans="3:7" ht="20.100000000000001" customHeight="1" thickBot="1" x14ac:dyDescent="0.3">
      <c r="C124" s="1644" t="s">
        <v>17</v>
      </c>
      <c r="D124" s="1995"/>
      <c r="E124" s="1995">
        <f t="shared" si="3"/>
        <v>2.9411764705882248E-2</v>
      </c>
      <c r="F124" s="1995">
        <f t="shared" si="3"/>
        <v>5.3968253968253999E-2</v>
      </c>
      <c r="G124" s="1995">
        <f t="shared" si="3"/>
        <v>0</v>
      </c>
    </row>
    <row r="125" spans="3:7" ht="20.100000000000001" customHeight="1" thickBot="1" x14ac:dyDescent="0.3">
      <c r="C125" s="2766" t="s">
        <v>1177</v>
      </c>
      <c r="D125" s="2767"/>
      <c r="E125" s="2767"/>
      <c r="F125" s="2767"/>
      <c r="G125" s="2768"/>
    </row>
    <row r="126" spans="3:7" ht="20.100000000000001" customHeight="1" x14ac:dyDescent="0.25">
      <c r="C126" s="2755"/>
      <c r="D126" s="1663">
        <v>2018</v>
      </c>
      <c r="E126" s="1663">
        <v>2019</v>
      </c>
      <c r="F126" s="1663">
        <v>2020</v>
      </c>
      <c r="G126" s="1663">
        <v>2021</v>
      </c>
    </row>
    <row r="127" spans="3:7" ht="20.100000000000001" customHeight="1" thickBot="1" x14ac:dyDescent="0.3">
      <c r="C127" s="2756"/>
      <c r="D127" s="1662" t="s">
        <v>6</v>
      </c>
      <c r="E127" s="1662" t="s">
        <v>7</v>
      </c>
      <c r="F127" s="1662" t="s">
        <v>7</v>
      </c>
      <c r="G127" s="1662" t="s">
        <v>7</v>
      </c>
    </row>
    <row r="128" spans="3:7" ht="20.100000000000001" customHeight="1" thickBot="1" x14ac:dyDescent="0.3">
      <c r="C128" s="1644" t="s">
        <v>104</v>
      </c>
      <c r="D128" s="1654"/>
      <c r="E128" s="1654"/>
      <c r="F128" s="1654"/>
      <c r="G128" s="1654"/>
    </row>
    <row r="129" spans="3:7" ht="20.100000000000001" customHeight="1" thickBot="1" x14ac:dyDescent="0.3">
      <c r="C129" s="1644" t="s">
        <v>105</v>
      </c>
      <c r="D129" s="1990">
        <f>D120</f>
        <v>510000</v>
      </c>
      <c r="E129" s="1990">
        <f>E120</f>
        <v>630000</v>
      </c>
      <c r="F129" s="1990">
        <f>F120</f>
        <v>830000</v>
      </c>
      <c r="G129" s="1990">
        <f>G120</f>
        <v>830000</v>
      </c>
    </row>
    <row r="130" spans="3:7" ht="20.100000000000001" customHeight="1" thickBot="1" x14ac:dyDescent="0.3">
      <c r="C130" s="1664" t="s">
        <v>68</v>
      </c>
      <c r="D130" s="1990">
        <f>D129+D128</f>
        <v>510000</v>
      </c>
      <c r="E130" s="1990">
        <f>E129+E128</f>
        <v>630000</v>
      </c>
      <c r="F130" s="1990">
        <f>F129+F128</f>
        <v>830000</v>
      </c>
      <c r="G130" s="1990">
        <f>G129+G128</f>
        <v>830000</v>
      </c>
    </row>
    <row r="131" spans="3:7" ht="20.100000000000001" customHeight="1" thickBot="1" x14ac:dyDescent="0.3">
      <c r="C131" s="1655" t="s">
        <v>70</v>
      </c>
      <c r="D131" s="1656">
        <f>D130-D120</f>
        <v>0</v>
      </c>
      <c r="E131" s="1656">
        <f>E130-E120</f>
        <v>0</v>
      </c>
      <c r="F131" s="1656">
        <f>F130-F120</f>
        <v>0</v>
      </c>
      <c r="G131" s="1656">
        <f>G130-G120</f>
        <v>0</v>
      </c>
    </row>
    <row r="132" spans="3:7" ht="136.5" customHeight="1" thickBot="1" x14ac:dyDescent="0.3">
      <c r="C132" s="1673" t="s">
        <v>512</v>
      </c>
      <c r="D132" s="2619" t="s">
        <v>784</v>
      </c>
      <c r="E132" s="2620"/>
      <c r="F132" s="2620"/>
      <c r="G132" s="2621"/>
    </row>
    <row r="133" spans="3:7" ht="20.100000000000001" customHeight="1" thickBot="1" x14ac:dyDescent="0.3">
      <c r="C133" s="2779" t="s">
        <v>537</v>
      </c>
      <c r="D133" s="2780"/>
      <c r="E133" s="2780"/>
      <c r="F133" s="2780"/>
      <c r="G133" s="2781"/>
    </row>
    <row r="134" spans="3:7" ht="20.100000000000001" customHeight="1" thickBot="1" x14ac:dyDescent="0.3">
      <c r="C134" s="2010"/>
      <c r="D134" s="2011">
        <v>2018</v>
      </c>
      <c r="E134" s="2011">
        <v>2019</v>
      </c>
      <c r="F134" s="2011">
        <v>2020</v>
      </c>
      <c r="G134" s="2011">
        <v>2021</v>
      </c>
    </row>
    <row r="135" spans="3:7" ht="20.100000000000001" customHeight="1" thickBot="1" x14ac:dyDescent="0.3">
      <c r="C135" s="2010" t="s">
        <v>783</v>
      </c>
      <c r="D135" s="2012">
        <v>14000</v>
      </c>
      <c r="E135" s="2012">
        <v>14000</v>
      </c>
      <c r="F135" s="2012">
        <v>14000</v>
      </c>
      <c r="G135" s="2012">
        <v>14000</v>
      </c>
    </row>
    <row r="136" spans="3:7" ht="20.100000000000001" customHeight="1" thickBot="1" x14ac:dyDescent="0.3">
      <c r="C136" s="2010" t="s">
        <v>791</v>
      </c>
      <c r="D136" s="2003">
        <v>73347</v>
      </c>
      <c r="E136" s="2003">
        <v>71300</v>
      </c>
      <c r="F136" s="2003">
        <v>69200</v>
      </c>
      <c r="G136" s="2003">
        <v>67100</v>
      </c>
    </row>
    <row r="137" spans="3:7" ht="20.100000000000001" customHeight="1" thickBot="1" x14ac:dyDescent="0.3">
      <c r="C137" s="2010" t="s">
        <v>809</v>
      </c>
      <c r="D137" s="2003">
        <v>107555</v>
      </c>
      <c r="E137" s="2003">
        <v>103400</v>
      </c>
      <c r="F137" s="2003">
        <v>100200</v>
      </c>
      <c r="G137" s="2003">
        <v>97100</v>
      </c>
    </row>
    <row r="138" spans="3:7" ht="22.5" customHeight="1" thickBot="1" x14ac:dyDescent="0.3">
      <c r="C138" s="2782" t="s">
        <v>535</v>
      </c>
      <c r="D138" s="2783"/>
      <c r="E138" s="2783"/>
      <c r="F138" s="2783"/>
      <c r="G138" s="2784"/>
    </row>
    <row r="139" spans="3:7" ht="20.100000000000001" customHeight="1" thickBot="1" x14ac:dyDescent="0.3">
      <c r="C139" s="2773" t="s">
        <v>121</v>
      </c>
      <c r="D139" s="2774"/>
      <c r="E139" s="2774"/>
      <c r="F139" s="2774"/>
      <c r="G139" s="2775"/>
    </row>
    <row r="140" spans="3:7" ht="120.75" customHeight="1" thickBot="1" x14ac:dyDescent="0.3">
      <c r="C140" s="1655" t="s">
        <v>648</v>
      </c>
      <c r="D140" s="2739" t="s">
        <v>974</v>
      </c>
      <c r="E140" s="2740"/>
      <c r="F140" s="2740"/>
      <c r="G140" s="2741"/>
    </row>
    <row r="141" spans="3:7" ht="246.75" customHeight="1" thickBot="1" x14ac:dyDescent="0.3">
      <c r="C141" s="1644" t="s">
        <v>10</v>
      </c>
      <c r="D141" s="2739" t="s">
        <v>1180</v>
      </c>
      <c r="E141" s="2740"/>
      <c r="F141" s="2740"/>
      <c r="G141" s="2741"/>
    </row>
    <row r="142" spans="3:7" ht="20.100000000000001" customHeight="1" thickBot="1" x14ac:dyDescent="0.3">
      <c r="C142" s="1644" t="s">
        <v>13</v>
      </c>
      <c r="D142" s="2776" t="s">
        <v>782</v>
      </c>
      <c r="E142" s="2777"/>
      <c r="F142" s="2777"/>
      <c r="G142" s="2778"/>
    </row>
    <row r="143" spans="3:7" ht="20.100000000000001" customHeight="1" x14ac:dyDescent="0.25">
      <c r="C143" s="2755"/>
      <c r="D143" s="1663">
        <v>2018</v>
      </c>
      <c r="E143" s="1663">
        <v>2019</v>
      </c>
      <c r="F143" s="1663">
        <v>2020</v>
      </c>
      <c r="G143" s="1663">
        <v>2021</v>
      </c>
    </row>
    <row r="144" spans="3:7" ht="20.100000000000001" customHeight="1" thickBot="1" x14ac:dyDescent="0.3">
      <c r="C144" s="2756"/>
      <c r="D144" s="1662" t="s">
        <v>6</v>
      </c>
      <c r="E144" s="1662" t="s">
        <v>7</v>
      </c>
      <c r="F144" s="1662" t="s">
        <v>7</v>
      </c>
      <c r="G144" s="1662" t="s">
        <v>7</v>
      </c>
    </row>
    <row r="145" spans="3:7" ht="20.100000000000001" customHeight="1" thickBot="1" x14ac:dyDescent="0.3">
      <c r="C145" s="1644" t="s">
        <v>9</v>
      </c>
      <c r="D145" s="1667">
        <v>14000</v>
      </c>
      <c r="E145" s="1667">
        <v>14000</v>
      </c>
      <c r="F145" s="1667">
        <v>14000</v>
      </c>
      <c r="G145" s="1667">
        <v>14000</v>
      </c>
    </row>
    <row r="146" spans="3:7" ht="20.100000000000001" customHeight="1" thickBot="1" x14ac:dyDescent="0.3">
      <c r="C146" s="1644" t="s">
        <v>14</v>
      </c>
      <c r="D146" s="1667">
        <v>700000</v>
      </c>
      <c r="E146" s="1667">
        <v>700000</v>
      </c>
      <c r="F146" s="1667">
        <v>700000</v>
      </c>
      <c r="G146" s="1667">
        <v>700000</v>
      </c>
    </row>
    <row r="147" spans="3:7" ht="20.100000000000001" customHeight="1" thickBot="1" x14ac:dyDescent="0.3">
      <c r="C147" s="1644" t="s">
        <v>23</v>
      </c>
      <c r="D147" s="1666">
        <f>D146/D145</f>
        <v>50</v>
      </c>
      <c r="E147" s="1666">
        <f>E146/E145</f>
        <v>50</v>
      </c>
      <c r="F147" s="1666">
        <f>F146/F145</f>
        <v>50</v>
      </c>
      <c r="G147" s="1666">
        <f>G146/G145</f>
        <v>50</v>
      </c>
    </row>
    <row r="148" spans="3:7" ht="20.100000000000001" customHeight="1" thickBot="1" x14ac:dyDescent="0.3">
      <c r="C148" s="1644" t="s">
        <v>15</v>
      </c>
      <c r="D148" s="1647"/>
      <c r="E148" s="1647">
        <f t="shared" ref="E148:G150" si="4">E145/D145-1</f>
        <v>0</v>
      </c>
      <c r="F148" s="1647">
        <f t="shared" si="4"/>
        <v>0</v>
      </c>
      <c r="G148" s="1647">
        <f t="shared" si="4"/>
        <v>0</v>
      </c>
    </row>
    <row r="149" spans="3:7" ht="20.100000000000001" customHeight="1" thickBot="1" x14ac:dyDescent="0.3">
      <c r="C149" s="1644" t="s">
        <v>16</v>
      </c>
      <c r="D149" s="1647"/>
      <c r="E149" s="1647">
        <f t="shared" si="4"/>
        <v>0</v>
      </c>
      <c r="F149" s="1647">
        <f t="shared" si="4"/>
        <v>0</v>
      </c>
      <c r="G149" s="1647">
        <f t="shared" si="4"/>
        <v>0</v>
      </c>
    </row>
    <row r="150" spans="3:7" ht="20.100000000000001" customHeight="1" thickBot="1" x14ac:dyDescent="0.3">
      <c r="C150" s="1644" t="s">
        <v>17</v>
      </c>
      <c r="D150" s="1647"/>
      <c r="E150" s="1647">
        <f t="shared" si="4"/>
        <v>0</v>
      </c>
      <c r="F150" s="1647">
        <f t="shared" si="4"/>
        <v>0</v>
      </c>
      <c r="G150" s="1647">
        <f t="shared" si="4"/>
        <v>0</v>
      </c>
    </row>
    <row r="151" spans="3:7" ht="20.100000000000001" customHeight="1" thickBot="1" x14ac:dyDescent="0.3">
      <c r="C151" s="2766" t="s">
        <v>1177</v>
      </c>
      <c r="D151" s="2767"/>
      <c r="E151" s="2767"/>
      <c r="F151" s="2767"/>
      <c r="G151" s="2768"/>
    </row>
    <row r="152" spans="3:7" ht="20.100000000000001" customHeight="1" x14ac:dyDescent="0.25">
      <c r="C152" s="2755"/>
      <c r="D152" s="1663">
        <v>2018</v>
      </c>
      <c r="E152" s="1663">
        <v>2019</v>
      </c>
      <c r="F152" s="1663">
        <v>2020</v>
      </c>
      <c r="G152" s="1663">
        <v>2021</v>
      </c>
    </row>
    <row r="153" spans="3:7" ht="20.100000000000001" customHeight="1" thickBot="1" x14ac:dyDescent="0.3">
      <c r="C153" s="2756"/>
      <c r="D153" s="1662" t="s">
        <v>6</v>
      </c>
      <c r="E153" s="1662" t="s">
        <v>7</v>
      </c>
      <c r="F153" s="1662" t="s">
        <v>7</v>
      </c>
      <c r="G153" s="1662" t="s">
        <v>7</v>
      </c>
    </row>
    <row r="154" spans="3:7" ht="20.100000000000001" customHeight="1" thickBot="1" x14ac:dyDescent="0.3">
      <c r="C154" s="1644" t="s">
        <v>0</v>
      </c>
      <c r="D154" s="1654">
        <v>0</v>
      </c>
      <c r="E154" s="1654">
        <v>0</v>
      </c>
      <c r="F154" s="1654">
        <v>0</v>
      </c>
      <c r="G154" s="1654">
        <v>0</v>
      </c>
    </row>
    <row r="155" spans="3:7" ht="20.100000000000001" customHeight="1" thickBot="1" x14ac:dyDescent="0.3">
      <c r="C155" s="1644" t="s">
        <v>49</v>
      </c>
      <c r="D155" s="1654">
        <v>0</v>
      </c>
      <c r="E155" s="1654">
        <v>0</v>
      </c>
      <c r="F155" s="1654">
        <v>0</v>
      </c>
      <c r="G155" s="1654">
        <v>0</v>
      </c>
    </row>
    <row r="156" spans="3:7" ht="20.100000000000001" customHeight="1" thickBot="1" x14ac:dyDescent="0.3">
      <c r="C156" s="1644" t="s">
        <v>1</v>
      </c>
      <c r="D156" s="1654">
        <v>0</v>
      </c>
      <c r="E156" s="1654">
        <v>0</v>
      </c>
      <c r="F156" s="1654">
        <v>0</v>
      </c>
      <c r="G156" s="1654">
        <v>0</v>
      </c>
    </row>
    <row r="157" spans="3:7" ht="20.100000000000001" customHeight="1" thickBot="1" x14ac:dyDescent="0.3">
      <c r="C157" s="1644" t="s">
        <v>2</v>
      </c>
      <c r="D157" s="1654">
        <v>0</v>
      </c>
      <c r="E157" s="1654">
        <v>0</v>
      </c>
      <c r="F157" s="1654">
        <v>0</v>
      </c>
      <c r="G157" s="1654">
        <v>0</v>
      </c>
    </row>
    <row r="158" spans="3:7" ht="20.100000000000001" customHeight="1" thickBot="1" x14ac:dyDescent="0.3">
      <c r="C158" s="1644" t="s">
        <v>28</v>
      </c>
      <c r="D158" s="1654">
        <f>D146</f>
        <v>700000</v>
      </c>
      <c r="E158" s="1654">
        <f>E146</f>
        <v>700000</v>
      </c>
      <c r="F158" s="1654">
        <f>F146</f>
        <v>700000</v>
      </c>
      <c r="G158" s="1654">
        <f>G146</f>
        <v>700000</v>
      </c>
    </row>
    <row r="159" spans="3:7" ht="20.100000000000001" customHeight="1" thickBot="1" x14ac:dyDescent="0.3">
      <c r="C159" s="1644" t="s">
        <v>30</v>
      </c>
      <c r="D159" s="1654"/>
      <c r="E159" s="1654"/>
      <c r="F159" s="1654"/>
      <c r="G159" s="1654"/>
    </row>
    <row r="160" spans="3:7" ht="20.100000000000001" customHeight="1" thickBot="1" x14ac:dyDescent="0.3">
      <c r="C160" s="1644" t="s">
        <v>3</v>
      </c>
      <c r="D160" s="1654">
        <v>0</v>
      </c>
      <c r="E160" s="1654">
        <v>0</v>
      </c>
      <c r="F160" s="1654">
        <v>0</v>
      </c>
      <c r="G160" s="1654">
        <v>0</v>
      </c>
    </row>
    <row r="161" spans="3:15" ht="20.100000000000001" customHeight="1" thickBot="1" x14ac:dyDescent="0.3">
      <c r="C161" s="1664" t="s">
        <v>68</v>
      </c>
      <c r="D161" s="1654">
        <f>D160+D159+D158+D157+D156+D155+D154</f>
        <v>700000</v>
      </c>
      <c r="E161" s="1654">
        <f>E160+E159+E158+E157+E156+E155+E154</f>
        <v>700000</v>
      </c>
      <c r="F161" s="1654">
        <f>F160+F159+F158+F157+F156+F155+F154</f>
        <v>700000</v>
      </c>
      <c r="G161" s="1654">
        <f>G160+G159+G158+G157+G156+G155+G154</f>
        <v>700000</v>
      </c>
    </row>
    <row r="162" spans="3:15" ht="20.100000000000001" customHeight="1" thickBot="1" x14ac:dyDescent="0.3">
      <c r="C162" s="1655" t="s">
        <v>70</v>
      </c>
      <c r="D162" s="1656">
        <f>D161-D146</f>
        <v>0</v>
      </c>
      <c r="E162" s="1656">
        <f>E161-E146</f>
        <v>0</v>
      </c>
      <c r="F162" s="1656">
        <f>F161-F146</f>
        <v>0</v>
      </c>
      <c r="G162" s="1656">
        <f>G161-G146</f>
        <v>0</v>
      </c>
    </row>
    <row r="163" spans="3:15" ht="20.100000000000001" customHeight="1" thickBot="1" x14ac:dyDescent="0.3">
      <c r="C163" s="1644"/>
      <c r="D163" s="2788"/>
      <c r="E163" s="2789"/>
      <c r="F163" s="2789"/>
      <c r="G163" s="2790"/>
      <c r="I163" s="1668"/>
      <c r="J163" s="1668"/>
      <c r="K163" s="1668"/>
      <c r="L163" s="1668"/>
      <c r="M163" s="1668"/>
      <c r="N163" s="1668"/>
      <c r="O163" s="1668"/>
    </row>
    <row r="164" spans="3:15" ht="20.100000000000001" customHeight="1" thickBot="1" x14ac:dyDescent="0.3">
      <c r="C164" s="1655"/>
      <c r="D164" s="1656">
        <f>D166-D165</f>
        <v>0</v>
      </c>
      <c r="E164" s="1656">
        <f>E166-E165</f>
        <v>0</v>
      </c>
      <c r="F164" s="1656">
        <f>F166-F165</f>
        <v>0</v>
      </c>
      <c r="G164" s="1656">
        <f>G166-G165</f>
        <v>0</v>
      </c>
      <c r="I164" s="1668"/>
      <c r="J164" s="1668"/>
      <c r="K164" s="1668"/>
      <c r="L164" s="1668"/>
      <c r="M164" s="1668"/>
      <c r="N164" s="1668"/>
      <c r="O164" s="1668"/>
    </row>
    <row r="165" spans="3:15" ht="29.25" customHeight="1" thickBot="1" x14ac:dyDescent="0.3">
      <c r="C165" s="2013" t="s">
        <v>116</v>
      </c>
      <c r="D165" s="2014">
        <f>D55+D88+D120+D146</f>
        <v>7305203</v>
      </c>
      <c r="E165" s="2014">
        <f t="shared" ref="E165:G165" si="5">E55+E88+E120+E146</f>
        <v>7444958</v>
      </c>
      <c r="F165" s="2014">
        <f t="shared" si="5"/>
        <v>7869958</v>
      </c>
      <c r="G165" s="2014">
        <f t="shared" si="5"/>
        <v>8058998</v>
      </c>
      <c r="I165" s="1668"/>
      <c r="J165" s="1668"/>
      <c r="K165" s="1668"/>
      <c r="L165" s="1668"/>
      <c r="M165" s="1668"/>
      <c r="N165" s="1668"/>
      <c r="O165" s="1668"/>
    </row>
    <row r="166" spans="3:15" ht="35.25" customHeight="1" thickBot="1" x14ac:dyDescent="0.3">
      <c r="C166" s="2013" t="s">
        <v>117</v>
      </c>
      <c r="D166" s="2014">
        <f>D168+D170+D172+D174+D176+D178+D180+D182+D184</f>
        <v>7305203</v>
      </c>
      <c r="E166" s="2014">
        <f t="shared" ref="E166:G166" si="6">E168+E170+E172+E174+E176+E178+E180+E182+E184</f>
        <v>7444958</v>
      </c>
      <c r="F166" s="2014">
        <f t="shared" si="6"/>
        <v>7869958</v>
      </c>
      <c r="G166" s="2014">
        <f t="shared" si="6"/>
        <v>8058998</v>
      </c>
      <c r="I166" s="1668"/>
      <c r="J166" s="1668"/>
      <c r="K166" s="1668"/>
      <c r="L166" s="1668"/>
      <c r="M166" s="1668"/>
      <c r="N166" s="1668"/>
      <c r="O166" s="1668"/>
    </row>
    <row r="167" spans="3:15" ht="20.100000000000001" customHeight="1" thickBot="1" x14ac:dyDescent="0.3">
      <c r="C167" s="1643" t="s">
        <v>24</v>
      </c>
      <c r="D167" s="1656"/>
      <c r="E167" s="1669">
        <f>E166/D166-1</f>
        <v>1.9130885206064763E-2</v>
      </c>
      <c r="F167" s="1669">
        <f>F166/E166-1</f>
        <v>5.7085614183451483E-2</v>
      </c>
      <c r="G167" s="1669">
        <f>G166/F166-1</f>
        <v>2.4020458558990931E-2</v>
      </c>
      <c r="I167" s="1668"/>
      <c r="J167" s="1668"/>
      <c r="K167" s="1668"/>
      <c r="L167" s="1668"/>
      <c r="M167" s="1668"/>
      <c r="N167" s="1668"/>
      <c r="O167" s="1668"/>
    </row>
    <row r="168" spans="3:15" ht="20.100000000000001" customHeight="1" thickBot="1" x14ac:dyDescent="0.3">
      <c r="C168" s="1644" t="s">
        <v>0</v>
      </c>
      <c r="D168" s="1654">
        <f>D63+D96+D154</f>
        <v>74603</v>
      </c>
      <c r="E168" s="1654">
        <f>E63+E96+E154</f>
        <v>0</v>
      </c>
      <c r="F168" s="1654">
        <f>F63+F96+F154</f>
        <v>0</v>
      </c>
      <c r="G168" s="1654">
        <f>G63+G96+G154</f>
        <v>0</v>
      </c>
      <c r="I168" s="1668"/>
      <c r="J168" s="1668"/>
      <c r="K168" s="1668"/>
      <c r="L168" s="1668"/>
      <c r="M168" s="1668"/>
      <c r="N168" s="1668"/>
      <c r="O168" s="1668"/>
    </row>
    <row r="169" spans="3:15" ht="20.100000000000001" customHeight="1" thickBot="1" x14ac:dyDescent="0.3">
      <c r="C169" s="1644" t="s">
        <v>25</v>
      </c>
      <c r="D169" s="1654"/>
      <c r="E169" s="1670">
        <v>0</v>
      </c>
      <c r="F169" s="1670">
        <v>0</v>
      </c>
      <c r="G169" s="1670">
        <v>0</v>
      </c>
      <c r="I169" s="1668"/>
      <c r="J169" s="1668"/>
      <c r="K169" s="1668"/>
      <c r="L169" s="1668"/>
      <c r="M169" s="1668"/>
      <c r="N169" s="1668"/>
      <c r="O169" s="1668"/>
    </row>
    <row r="170" spans="3:15" ht="20.100000000000001" customHeight="1" thickBot="1" x14ac:dyDescent="0.3">
      <c r="C170" s="1644" t="s">
        <v>49</v>
      </c>
      <c r="D170" s="1654">
        <f>+D64+D97+D156</f>
        <v>9080</v>
      </c>
      <c r="E170" s="1654">
        <f>+E64+E97+E156</f>
        <v>0</v>
      </c>
      <c r="F170" s="1654">
        <f>+F64+F97+F156</f>
        <v>0</v>
      </c>
      <c r="G170" s="1654">
        <f>+G64+G97+G156</f>
        <v>0</v>
      </c>
      <c r="I170" s="1668"/>
      <c r="J170" s="1668"/>
      <c r="K170" s="1668"/>
      <c r="L170" s="1668"/>
      <c r="M170" s="1668"/>
      <c r="N170" s="1668"/>
      <c r="O170" s="1668"/>
    </row>
    <row r="171" spans="3:15" ht="20.100000000000001" customHeight="1" thickBot="1" x14ac:dyDescent="0.3">
      <c r="C171" s="1644" t="s">
        <v>50</v>
      </c>
      <c r="D171" s="1654"/>
      <c r="E171" s="1670">
        <v>0</v>
      </c>
      <c r="F171" s="1670">
        <v>0</v>
      </c>
      <c r="G171" s="1670">
        <v>0</v>
      </c>
      <c r="I171" s="1668"/>
      <c r="J171" s="1668"/>
      <c r="K171" s="1668"/>
      <c r="L171" s="1668"/>
      <c r="M171" s="1668"/>
      <c r="N171" s="1668"/>
      <c r="O171" s="1668"/>
    </row>
    <row r="172" spans="3:15" ht="20.100000000000001" customHeight="1" thickBot="1" x14ac:dyDescent="0.3">
      <c r="C172" s="1644" t="s">
        <v>1</v>
      </c>
      <c r="D172" s="1654">
        <f>D65+D98+D156</f>
        <v>61520</v>
      </c>
      <c r="E172" s="1654">
        <f>E65+E98+E156</f>
        <v>0</v>
      </c>
      <c r="F172" s="1654">
        <f>F65+F98+F156</f>
        <v>0</v>
      </c>
      <c r="G172" s="1654">
        <f>G65+G98+G156</f>
        <v>0</v>
      </c>
      <c r="I172" s="1668"/>
      <c r="J172" s="1668"/>
      <c r="K172" s="1668"/>
      <c r="L172" s="1668"/>
      <c r="M172" s="1668"/>
      <c r="N172" s="1668"/>
      <c r="O172" s="1668"/>
    </row>
    <row r="173" spans="3:15" ht="20.100000000000001" customHeight="1" thickBot="1" x14ac:dyDescent="0.3">
      <c r="C173" s="1644" t="s">
        <v>26</v>
      </c>
      <c r="D173" s="1654"/>
      <c r="E173" s="1670">
        <v>0</v>
      </c>
      <c r="F173" s="1670">
        <v>0</v>
      </c>
      <c r="G173" s="1670">
        <v>0</v>
      </c>
      <c r="I173" s="1668"/>
      <c r="J173" s="1668"/>
      <c r="K173" s="1668"/>
      <c r="L173" s="1668"/>
      <c r="M173" s="1668"/>
      <c r="N173" s="1668"/>
      <c r="O173" s="1668"/>
    </row>
    <row r="174" spans="3:15" ht="20.100000000000001" customHeight="1" thickBot="1" x14ac:dyDescent="0.3">
      <c r="C174" s="1644" t="s">
        <v>2</v>
      </c>
      <c r="D174" s="1654">
        <v>0</v>
      </c>
      <c r="E174" s="1654">
        <v>0</v>
      </c>
      <c r="F174" s="1654">
        <v>0</v>
      </c>
      <c r="G174" s="1654">
        <v>0</v>
      </c>
      <c r="I174" s="1668"/>
      <c r="J174" s="1668"/>
      <c r="K174" s="1668"/>
      <c r="L174" s="1668"/>
      <c r="M174" s="1668"/>
      <c r="N174" s="1668"/>
      <c r="O174" s="1668"/>
    </row>
    <row r="175" spans="3:15" ht="20.100000000000001" customHeight="1" thickBot="1" x14ac:dyDescent="0.3">
      <c r="C175" s="1644" t="s">
        <v>27</v>
      </c>
      <c r="D175" s="1654"/>
      <c r="E175" s="1670"/>
      <c r="F175" s="1670"/>
      <c r="G175" s="1670"/>
      <c r="I175" s="1668"/>
      <c r="J175" s="1668"/>
      <c r="K175" s="1668"/>
      <c r="L175" s="1668"/>
      <c r="M175" s="1668"/>
      <c r="N175" s="1668"/>
      <c r="O175" s="1668"/>
    </row>
    <row r="176" spans="3:15" ht="20.100000000000001" customHeight="1" thickBot="1" x14ac:dyDescent="0.3">
      <c r="C176" s="1644" t="s">
        <v>28</v>
      </c>
      <c r="D176" s="1654">
        <f>D67+D100+D158</f>
        <v>6650000</v>
      </c>
      <c r="E176" s="1654">
        <f>E67+E100+E158</f>
        <v>6814958</v>
      </c>
      <c r="F176" s="1654">
        <f>F67+F100+F158</f>
        <v>7039958</v>
      </c>
      <c r="G176" s="1654">
        <f>G67+G100+G158</f>
        <v>7228998</v>
      </c>
    </row>
    <row r="177" spans="3:7" ht="20.100000000000001" customHeight="1" thickBot="1" x14ac:dyDescent="0.3">
      <c r="C177" s="1644" t="s">
        <v>29</v>
      </c>
      <c r="D177" s="1654"/>
      <c r="E177" s="1670">
        <f>E176/D176-1</f>
        <v>2.480571428571432E-2</v>
      </c>
      <c r="F177" s="1670">
        <f>F176/E176-1</f>
        <v>3.3015610661136785E-2</v>
      </c>
      <c r="G177" s="1670">
        <f>G176/F176-1</f>
        <v>2.6852432926446346E-2</v>
      </c>
    </row>
    <row r="178" spans="3:7" ht="20.100000000000001" customHeight="1" thickBot="1" x14ac:dyDescent="0.3">
      <c r="C178" s="1644" t="s">
        <v>30</v>
      </c>
      <c r="D178" s="1654">
        <v>0</v>
      </c>
      <c r="E178" s="1654">
        <v>0</v>
      </c>
      <c r="F178" s="1654">
        <v>0</v>
      </c>
      <c r="G178" s="1654">
        <v>0</v>
      </c>
    </row>
    <row r="179" spans="3:7" ht="20.100000000000001" customHeight="1" thickBot="1" x14ac:dyDescent="0.3">
      <c r="C179" s="1644" t="s">
        <v>31</v>
      </c>
      <c r="D179" s="1654"/>
      <c r="E179" s="1670">
        <v>0</v>
      </c>
      <c r="F179" s="1670">
        <v>0</v>
      </c>
      <c r="G179" s="1670">
        <v>0</v>
      </c>
    </row>
    <row r="180" spans="3:7" ht="20.100000000000001" customHeight="1" thickBot="1" x14ac:dyDescent="0.3">
      <c r="C180" s="1644" t="s">
        <v>3</v>
      </c>
      <c r="D180" s="1654">
        <v>0</v>
      </c>
      <c r="E180" s="1654">
        <v>0</v>
      </c>
      <c r="F180" s="1654">
        <v>0</v>
      </c>
      <c r="G180" s="1654">
        <v>0</v>
      </c>
    </row>
    <row r="181" spans="3:7" ht="20.100000000000001" customHeight="1" thickBot="1" x14ac:dyDescent="0.3">
      <c r="C181" s="1644" t="s">
        <v>32</v>
      </c>
      <c r="D181" s="1654"/>
      <c r="E181" s="1670">
        <v>0</v>
      </c>
      <c r="F181" s="1670">
        <v>0</v>
      </c>
      <c r="G181" s="1670">
        <v>0</v>
      </c>
    </row>
    <row r="182" spans="3:7" ht="20.100000000000001" customHeight="1" thickBot="1" x14ac:dyDescent="0.3">
      <c r="C182" s="1644" t="s">
        <v>18</v>
      </c>
      <c r="D182" s="1654">
        <v>0</v>
      </c>
      <c r="E182" s="1654">
        <v>0</v>
      </c>
      <c r="F182" s="1654">
        <v>0</v>
      </c>
      <c r="G182" s="1654">
        <v>0</v>
      </c>
    </row>
    <row r="183" spans="3:7" ht="20.100000000000001" customHeight="1" thickBot="1" x14ac:dyDescent="0.3">
      <c r="C183" s="1644" t="s">
        <v>33</v>
      </c>
      <c r="D183" s="1654"/>
      <c r="E183" s="1670"/>
      <c r="F183" s="1670"/>
      <c r="G183" s="1670"/>
    </row>
    <row r="184" spans="3:7" ht="20.100000000000001" customHeight="1" thickBot="1" x14ac:dyDescent="0.3">
      <c r="C184" s="1644" t="s">
        <v>19</v>
      </c>
      <c r="D184" s="1654">
        <f>D129</f>
        <v>510000</v>
      </c>
      <c r="E184" s="1654">
        <f>E129</f>
        <v>630000</v>
      </c>
      <c r="F184" s="1654">
        <f>F129</f>
        <v>830000</v>
      </c>
      <c r="G184" s="1654">
        <f>G129</f>
        <v>830000</v>
      </c>
    </row>
    <row r="185" spans="3:7" ht="20.100000000000001" customHeight="1" thickBot="1" x14ac:dyDescent="0.3">
      <c r="C185" s="1644" t="s">
        <v>34</v>
      </c>
      <c r="D185" s="1654"/>
      <c r="E185" s="1670">
        <f>E184/D184-1</f>
        <v>0.23529411764705888</v>
      </c>
      <c r="F185" s="1670">
        <f>F184/E184-1</f>
        <v>0.31746031746031744</v>
      </c>
      <c r="G185" s="1670">
        <f>G184/F184-1</f>
        <v>0</v>
      </c>
    </row>
    <row r="186" spans="3:7" ht="20.100000000000001" customHeight="1" thickBot="1" x14ac:dyDescent="0.3">
      <c r="C186" s="1655" t="s">
        <v>70</v>
      </c>
      <c r="D186" s="1656">
        <f>D165-D166</f>
        <v>0</v>
      </c>
      <c r="E186" s="1656">
        <f t="shared" ref="E186:G186" si="7">E165-E166</f>
        <v>0</v>
      </c>
      <c r="F186" s="1656">
        <f t="shared" si="7"/>
        <v>0</v>
      </c>
      <c r="G186" s="1656">
        <f t="shared" si="7"/>
        <v>0</v>
      </c>
    </row>
    <row r="187" spans="3:7" ht="20.100000000000001" customHeight="1" thickBot="1" x14ac:dyDescent="0.3">
      <c r="C187" s="1643" t="s">
        <v>780</v>
      </c>
      <c r="D187" s="1654">
        <v>18</v>
      </c>
      <c r="E187" s="1654">
        <v>18</v>
      </c>
      <c r="F187" s="1654">
        <v>18</v>
      </c>
      <c r="G187" s="1654">
        <v>18</v>
      </c>
    </row>
    <row r="188" spans="3:7" ht="20.100000000000001" customHeight="1" thickBot="1" x14ac:dyDescent="0.3">
      <c r="C188" s="1643" t="s">
        <v>64</v>
      </c>
      <c r="D188" s="1654">
        <v>0</v>
      </c>
      <c r="E188" s="1654">
        <v>0</v>
      </c>
      <c r="F188" s="1654">
        <v>0</v>
      </c>
      <c r="G188" s="1654">
        <v>0</v>
      </c>
    </row>
    <row r="189" spans="3:7" ht="12.6" customHeight="1" x14ac:dyDescent="0.25">
      <c r="C189" s="1671"/>
      <c r="D189" s="1672"/>
      <c r="E189" s="1672"/>
      <c r="F189" s="1672"/>
      <c r="G189" s="1672"/>
    </row>
  </sheetData>
  <mergeCells count="41">
    <mergeCell ref="C152:C153"/>
    <mergeCell ref="C113:G113"/>
    <mergeCell ref="D114:G114"/>
    <mergeCell ref="D115:G115"/>
    <mergeCell ref="D163:G163"/>
    <mergeCell ref="C112:G112"/>
    <mergeCell ref="D142:G142"/>
    <mergeCell ref="C143:C144"/>
    <mergeCell ref="C151:G151"/>
    <mergeCell ref="D132:G132"/>
    <mergeCell ref="C133:G133"/>
    <mergeCell ref="C138:G138"/>
    <mergeCell ref="C139:G139"/>
    <mergeCell ref="D140:G140"/>
    <mergeCell ref="C2:G2"/>
    <mergeCell ref="D72:G72"/>
    <mergeCell ref="C73:G73"/>
    <mergeCell ref="D141:G141"/>
    <mergeCell ref="D116:G116"/>
    <mergeCell ref="C117:C118"/>
    <mergeCell ref="C125:G125"/>
    <mergeCell ref="C126:C127"/>
    <mergeCell ref="C8:G8"/>
    <mergeCell ref="D9:G9"/>
    <mergeCell ref="C10:C11"/>
    <mergeCell ref="D35:G35"/>
    <mergeCell ref="C36:G36"/>
    <mergeCell ref="C85:C86"/>
    <mergeCell ref="D50:G50"/>
    <mergeCell ref="D105:G105"/>
    <mergeCell ref="C106:G106"/>
    <mergeCell ref="D4:G4"/>
    <mergeCell ref="D5:G5"/>
    <mergeCell ref="D6:G6"/>
    <mergeCell ref="C7:G7"/>
    <mergeCell ref="D83:G83"/>
    <mergeCell ref="D84:G84"/>
    <mergeCell ref="D51:G51"/>
    <mergeCell ref="C52:C53"/>
    <mergeCell ref="D82:G82"/>
    <mergeCell ref="C37:C38"/>
  </mergeCells>
  <printOptions horizontalCentered="1" verticalCentered="1"/>
  <pageMargins left="7.874015748031496E-2" right="7.874015748031496E-2" top="0.43307086614173229" bottom="0.43307086614173229" header="0.31496062992125984" footer="0.31496062992125984"/>
  <pageSetup scale="8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O159"/>
  <sheetViews>
    <sheetView topLeftCell="A137" zoomScale="112" zoomScaleNormal="112" workbookViewId="0">
      <selection activeCell="E140" sqref="E140"/>
    </sheetView>
  </sheetViews>
  <sheetFormatPr defaultColWidth="8.85546875" defaultRowHeight="12.6" customHeight="1" x14ac:dyDescent="0.25"/>
  <cols>
    <col min="1" max="1" width="3.28515625" style="930" customWidth="1"/>
    <col min="2" max="2" width="4" style="930" customWidth="1"/>
    <col min="3" max="3" width="55.7109375" style="1189" customWidth="1"/>
    <col min="4" max="4" width="15.7109375" style="931" customWidth="1"/>
    <col min="5" max="5" width="18.42578125" style="931" customWidth="1"/>
    <col min="6" max="6" width="19.85546875" style="931" customWidth="1"/>
    <col min="7" max="7" width="18.42578125" style="931" customWidth="1"/>
    <col min="8" max="8" width="11.7109375" style="930" bestFit="1" customWidth="1"/>
    <col min="9" max="9" width="12.140625" style="930" customWidth="1"/>
    <col min="10" max="10" width="11.7109375" style="930" customWidth="1"/>
    <col min="11" max="11" width="12.28515625" style="930" customWidth="1"/>
    <col min="12" max="16384" width="8.85546875" style="930"/>
  </cols>
  <sheetData>
    <row r="2" spans="2:7" ht="12.6" customHeight="1" x14ac:dyDescent="0.25">
      <c r="C2" s="2730" t="s">
        <v>970</v>
      </c>
      <c r="D2" s="2730"/>
      <c r="E2" s="2730"/>
      <c r="F2" s="2730"/>
      <c r="G2" s="2730"/>
    </row>
    <row r="3" spans="2:7" ht="12.6" customHeight="1" x14ac:dyDescent="0.25">
      <c r="B3" s="1156"/>
      <c r="C3" s="2731" t="s">
        <v>971</v>
      </c>
      <c r="D3" s="2731"/>
      <c r="E3" s="2731"/>
      <c r="F3" s="2731"/>
      <c r="G3" s="2731"/>
    </row>
    <row r="4" spans="2:7" ht="12.6" customHeight="1" thickBot="1" x14ac:dyDescent="0.3"/>
    <row r="5" spans="2:7" ht="12.6" customHeight="1" thickBot="1" x14ac:dyDescent="0.3">
      <c r="C5" s="1227" t="s">
        <v>20</v>
      </c>
      <c r="D5" s="2732" t="s">
        <v>818</v>
      </c>
      <c r="E5" s="2732"/>
      <c r="F5" s="2732"/>
      <c r="G5" s="2718"/>
    </row>
    <row r="6" spans="2:7" ht="22.9" customHeight="1" thickBot="1" x14ac:dyDescent="0.3">
      <c r="C6" s="1227" t="s">
        <v>4</v>
      </c>
      <c r="D6" s="2733" t="s">
        <v>428</v>
      </c>
      <c r="E6" s="2734"/>
      <c r="F6" s="2734"/>
      <c r="G6" s="2735"/>
    </row>
    <row r="7" spans="2:7" ht="12.6" customHeight="1" thickBot="1" x14ac:dyDescent="0.3">
      <c r="C7" s="1227" t="s">
        <v>35</v>
      </c>
      <c r="D7" s="2736" t="s">
        <v>5</v>
      </c>
      <c r="E7" s="2737"/>
      <c r="F7" s="2737"/>
      <c r="G7" s="2738"/>
    </row>
    <row r="8" spans="2:7" ht="12.6" customHeight="1" thickBot="1" x14ac:dyDescent="0.3">
      <c r="C8" s="2727" t="s">
        <v>8</v>
      </c>
      <c r="D8" s="2728"/>
      <c r="E8" s="2728"/>
      <c r="F8" s="2728"/>
      <c r="G8" s="2729"/>
    </row>
    <row r="9" spans="2:7" s="978" customFormat="1" ht="42.6" customHeight="1" thickBot="1" x14ac:dyDescent="0.3">
      <c r="C9" s="1228" t="s">
        <v>12</v>
      </c>
      <c r="D9" s="2546" t="s">
        <v>963</v>
      </c>
      <c r="E9" s="2547"/>
      <c r="F9" s="2547"/>
      <c r="G9" s="2548"/>
    </row>
    <row r="10" spans="2:7" ht="19.149999999999999" customHeight="1" thickBot="1" x14ac:dyDescent="0.3">
      <c r="C10" s="2715" t="s">
        <v>120</v>
      </c>
      <c r="D10" s="2716"/>
      <c r="E10" s="2716"/>
      <c r="F10" s="2716"/>
      <c r="G10" s="2717"/>
    </row>
    <row r="11" spans="2:7" ht="12.6" customHeight="1" x14ac:dyDescent="0.25">
      <c r="C11" s="1229"/>
      <c r="D11" s="1017">
        <v>2018</v>
      </c>
      <c r="E11" s="1017">
        <v>2019</v>
      </c>
      <c r="F11" s="1017">
        <v>2020</v>
      </c>
      <c r="G11" s="1017">
        <v>2021</v>
      </c>
    </row>
    <row r="12" spans="2:7" ht="12.6" customHeight="1" thickBot="1" x14ac:dyDescent="0.3">
      <c r="C12" s="1198" t="s">
        <v>791</v>
      </c>
      <c r="D12" s="1199">
        <v>73347</v>
      </c>
      <c r="E12" s="1199">
        <v>71300</v>
      </c>
      <c r="F12" s="1199">
        <v>69200</v>
      </c>
      <c r="G12" s="1199">
        <v>67100</v>
      </c>
    </row>
    <row r="13" spans="2:7" ht="12.6" customHeight="1" thickBot="1" x14ac:dyDescent="0.3">
      <c r="C13" s="1198" t="s">
        <v>976</v>
      </c>
      <c r="D13" s="1200">
        <f>D20/D12</f>
        <v>99.597843129235002</v>
      </c>
      <c r="E13" s="1200">
        <f>E20/E12</f>
        <v>104.41736325385695</v>
      </c>
      <c r="F13" s="1200">
        <f>F20/F12</f>
        <v>113.72771676300577</v>
      </c>
      <c r="G13" s="1200">
        <f>G20/G12</f>
        <v>120.10429210134129</v>
      </c>
    </row>
    <row r="14" spans="2:7" ht="19.899999999999999" customHeight="1" thickBot="1" x14ac:dyDescent="0.3">
      <c r="C14" s="1198" t="s">
        <v>810</v>
      </c>
      <c r="D14" s="1199">
        <v>34208</v>
      </c>
      <c r="E14" s="1199">
        <v>32100</v>
      </c>
      <c r="F14" s="1199">
        <v>31000</v>
      </c>
      <c r="G14" s="1199">
        <v>30000</v>
      </c>
    </row>
    <row r="15" spans="2:7" ht="12.6" customHeight="1" thickBot="1" x14ac:dyDescent="0.3">
      <c r="C15" s="1198" t="s">
        <v>809</v>
      </c>
      <c r="D15" s="1199">
        <v>107555</v>
      </c>
      <c r="E15" s="1199">
        <v>103400</v>
      </c>
      <c r="F15" s="1199">
        <v>100200</v>
      </c>
      <c r="G15" s="1199">
        <v>97100</v>
      </c>
    </row>
    <row r="16" spans="2:7" ht="12.6" customHeight="1" thickBot="1" x14ac:dyDescent="0.3">
      <c r="C16" s="1198" t="s">
        <v>808</v>
      </c>
      <c r="D16" s="1200">
        <f>D21/D15</f>
        <v>107.4475663613965</v>
      </c>
      <c r="E16" s="1200">
        <f>E21/E15</f>
        <v>114.74556092843326</v>
      </c>
      <c r="F16" s="1200">
        <f>F21/F15</f>
        <v>123.75200598802395</v>
      </c>
      <c r="G16" s="1200">
        <f>G21/G15</f>
        <v>129.64975283213181</v>
      </c>
    </row>
    <row r="17" spans="3:7" ht="13.15" customHeight="1" thickBot="1" x14ac:dyDescent="0.3">
      <c r="C17" s="1198" t="s">
        <v>966</v>
      </c>
      <c r="D17" s="1199">
        <v>3600</v>
      </c>
      <c r="E17" s="1199">
        <v>3700</v>
      </c>
      <c r="F17" s="1199">
        <v>3800</v>
      </c>
      <c r="G17" s="1199">
        <v>3900</v>
      </c>
    </row>
    <row r="18" spans="3:7" ht="22.9" customHeight="1" thickBot="1" x14ac:dyDescent="0.3">
      <c r="C18" s="1198" t="s">
        <v>806</v>
      </c>
      <c r="D18" s="1199">
        <v>4680</v>
      </c>
      <c r="E18" s="1199">
        <v>4810</v>
      </c>
      <c r="F18" s="1199">
        <v>4940</v>
      </c>
      <c r="G18" s="1199">
        <v>5070</v>
      </c>
    </row>
    <row r="19" spans="3:7" ht="15.6" customHeight="1" thickBot="1" x14ac:dyDescent="0.3">
      <c r="C19" s="1198" t="s">
        <v>964</v>
      </c>
      <c r="D19" s="1201">
        <f>D20/D21</f>
        <v>0.63212810635171146</v>
      </c>
      <c r="E19" s="1201">
        <f t="shared" ref="E19:G19" si="0">E20/E21</f>
        <v>0.62748857092022037</v>
      </c>
      <c r="F19" s="1201">
        <f t="shared" si="0"/>
        <v>0.63467654025407039</v>
      </c>
      <c r="G19" s="1201">
        <f t="shared" si="0"/>
        <v>0.64016234502034353</v>
      </c>
    </row>
    <row r="20" spans="3:7" ht="12.6" customHeight="1" thickBot="1" x14ac:dyDescent="0.3">
      <c r="C20" s="1198" t="s">
        <v>967</v>
      </c>
      <c r="D20" s="248">
        <v>7305203</v>
      </c>
      <c r="E20" s="248">
        <v>7444958</v>
      </c>
      <c r="F20" s="248">
        <v>7869958</v>
      </c>
      <c r="G20" s="248">
        <v>8058998</v>
      </c>
    </row>
    <row r="21" spans="3:7" ht="12.6" customHeight="1" thickBot="1" x14ac:dyDescent="0.3">
      <c r="C21" s="1198" t="s">
        <v>804</v>
      </c>
      <c r="D21" s="250">
        <v>11556523</v>
      </c>
      <c r="E21" s="250">
        <v>11864691</v>
      </c>
      <c r="F21" s="250">
        <v>12399951</v>
      </c>
      <c r="G21" s="250">
        <v>12588991</v>
      </c>
    </row>
    <row r="22" spans="3:7" ht="12.6" customHeight="1" thickBot="1" x14ac:dyDescent="0.3">
      <c r="C22" s="1198" t="s">
        <v>979</v>
      </c>
      <c r="D22" s="1221">
        <f>D26/D15</f>
        <v>107.4475663613965</v>
      </c>
      <c r="E22" s="1221">
        <f t="shared" ref="E22:G22" si="1">E26/E15</f>
        <v>125.86741779497099</v>
      </c>
      <c r="F22" s="1221">
        <f t="shared" si="1"/>
        <v>139.12126746506985</v>
      </c>
      <c r="G22" s="1221">
        <f t="shared" si="1"/>
        <v>155.91133882595264</v>
      </c>
    </row>
    <row r="23" spans="3:7" ht="12.6" customHeight="1" thickBot="1" x14ac:dyDescent="0.3">
      <c r="C23" s="1222" t="s">
        <v>978</v>
      </c>
      <c r="D23" s="1016">
        <f>D25/D12</f>
        <v>99.597843129235002</v>
      </c>
      <c r="E23" s="1016">
        <f t="shared" ref="E23:G23" si="2">E25/E12</f>
        <v>120.54639551192146</v>
      </c>
      <c r="F23" s="1016">
        <f t="shared" si="2"/>
        <v>135.98205202312138</v>
      </c>
      <c r="G23" s="1016">
        <f t="shared" si="2"/>
        <v>158.10727272727271</v>
      </c>
    </row>
    <row r="24" spans="3:7" ht="12.6" customHeight="1" thickBot="1" x14ac:dyDescent="0.3">
      <c r="C24" s="1222" t="s">
        <v>964</v>
      </c>
      <c r="D24" s="1201">
        <f>D25/D26</f>
        <v>0.63212810635171146</v>
      </c>
      <c r="E24" s="1201">
        <f t="shared" ref="E24:G24" si="3">E25/E26</f>
        <v>0.66040430771656433</v>
      </c>
      <c r="F24" s="1201">
        <f t="shared" si="3"/>
        <v>0.67503522788566472</v>
      </c>
      <c r="G24" s="1201">
        <f t="shared" si="3"/>
        <v>0.70077312285871629</v>
      </c>
    </row>
    <row r="25" spans="3:7" ht="12.6" customHeight="1" thickBot="1" x14ac:dyDescent="0.3">
      <c r="C25" s="1222" t="s">
        <v>980</v>
      </c>
      <c r="D25" s="248">
        <f>D20+D146</f>
        <v>7305203</v>
      </c>
      <c r="E25" s="248">
        <f t="shared" ref="E25:G25" si="4">E20+E146</f>
        <v>8594958</v>
      </c>
      <c r="F25" s="248">
        <f t="shared" si="4"/>
        <v>9409958</v>
      </c>
      <c r="G25" s="248">
        <f t="shared" si="4"/>
        <v>10608998</v>
      </c>
    </row>
    <row r="26" spans="3:7" ht="12.6" customHeight="1" thickBot="1" x14ac:dyDescent="0.3">
      <c r="C26" s="1222" t="s">
        <v>981</v>
      </c>
      <c r="D26" s="248">
        <f>D21+D146</f>
        <v>11556523</v>
      </c>
      <c r="E26" s="248">
        <f t="shared" ref="E26:G26" si="5">E21+E146</f>
        <v>13014691</v>
      </c>
      <c r="F26" s="248">
        <f t="shared" si="5"/>
        <v>13939951</v>
      </c>
      <c r="G26" s="248">
        <f t="shared" si="5"/>
        <v>15138991</v>
      </c>
    </row>
    <row r="27" spans="3:7" ht="54" customHeight="1" thickBot="1" x14ac:dyDescent="0.3">
      <c r="C27" s="1222" t="s">
        <v>10</v>
      </c>
      <c r="D27" s="2680" t="s">
        <v>803</v>
      </c>
      <c r="E27" s="2681"/>
      <c r="F27" s="2681"/>
      <c r="G27" s="2682"/>
    </row>
    <row r="28" spans="3:7" ht="12.6" customHeight="1" thickBot="1" x14ac:dyDescent="0.3">
      <c r="C28" s="1222" t="s">
        <v>13</v>
      </c>
      <c r="D28" s="2718" t="s">
        <v>802</v>
      </c>
      <c r="E28" s="2719"/>
      <c r="F28" s="2719"/>
      <c r="G28" s="2720"/>
    </row>
    <row r="29" spans="3:7" ht="12.6" customHeight="1" x14ac:dyDescent="0.25">
      <c r="C29" s="2791"/>
      <c r="D29" s="1007">
        <v>2018</v>
      </c>
      <c r="E29" s="1007">
        <v>2019</v>
      </c>
      <c r="F29" s="1007">
        <v>2020</v>
      </c>
      <c r="G29" s="1007">
        <v>2021</v>
      </c>
    </row>
    <row r="30" spans="3:7" ht="12.6" customHeight="1" thickBot="1" x14ac:dyDescent="0.3">
      <c r="C30" s="2792"/>
      <c r="D30" s="1015" t="s">
        <v>6</v>
      </c>
      <c r="E30" s="1015" t="s">
        <v>7</v>
      </c>
      <c r="F30" s="1015" t="s">
        <v>7</v>
      </c>
      <c r="G30" s="1015" t="s">
        <v>7</v>
      </c>
    </row>
    <row r="31" spans="3:7" ht="12.6" customHeight="1" thickBot="1" x14ac:dyDescent="0.3">
      <c r="C31" s="1222" t="s">
        <v>9</v>
      </c>
      <c r="D31" s="988">
        <v>73347</v>
      </c>
      <c r="E31" s="988">
        <v>71300</v>
      </c>
      <c r="F31" s="988">
        <v>69200</v>
      </c>
      <c r="G31" s="988">
        <v>67100</v>
      </c>
    </row>
    <row r="32" spans="3:7" ht="12.6" customHeight="1" thickBot="1" x14ac:dyDescent="0.3">
      <c r="C32" s="1222" t="s">
        <v>14</v>
      </c>
      <c r="D32" s="249">
        <f>'09450 IAL F 2 P Aktual 19-21 '!D58-'Formati 2.1 Arsimi Larte'!D55</f>
        <v>0</v>
      </c>
      <c r="E32" s="249">
        <f>'09450 IAL F 2 P Aktual 19-21 '!E58-'Formati 2.1 Arsimi Larte'!E55</f>
        <v>700000</v>
      </c>
      <c r="F32" s="249">
        <f>'09450 IAL F 2 P Aktual 19-21 '!F58-'Formati 2.1 Arsimi Larte'!F55</f>
        <v>900000</v>
      </c>
      <c r="G32" s="249">
        <f>'09450 IAL F 2 P Aktual 19-21 '!G58-'Formati 2.1 Arsimi Larte'!G55</f>
        <v>1400000</v>
      </c>
    </row>
    <row r="33" spans="3:7" ht="12.6" customHeight="1" thickBot="1" x14ac:dyDescent="0.3">
      <c r="C33" s="1222" t="s">
        <v>23</v>
      </c>
      <c r="D33" s="979">
        <f>D32/D31</f>
        <v>0</v>
      </c>
      <c r="E33" s="979">
        <f>E32/E31</f>
        <v>9.8176718092566624</v>
      </c>
      <c r="F33" s="979">
        <f>F32/F31</f>
        <v>13.00578034682081</v>
      </c>
      <c r="G33" s="979">
        <f>G32/G31</f>
        <v>20.864381520119224</v>
      </c>
    </row>
    <row r="34" spans="3:7" ht="12.6" customHeight="1" thickBot="1" x14ac:dyDescent="0.3">
      <c r="C34" s="1222" t="s">
        <v>15</v>
      </c>
      <c r="D34" s="999"/>
      <c r="E34" s="998">
        <f t="shared" ref="E34:G35" si="6">E31/D31-1</f>
        <v>-2.7908435246158714E-2</v>
      </c>
      <c r="F34" s="998">
        <f t="shared" si="6"/>
        <v>-2.9453015427770013E-2</v>
      </c>
      <c r="G34" s="998">
        <f t="shared" si="6"/>
        <v>-3.0346820809248554E-2</v>
      </c>
    </row>
    <row r="35" spans="3:7" ht="12.6" customHeight="1" thickBot="1" x14ac:dyDescent="0.3">
      <c r="C35" s="1222" t="s">
        <v>16</v>
      </c>
      <c r="D35" s="999"/>
      <c r="E35" s="998" t="e">
        <f t="shared" si="6"/>
        <v>#DIV/0!</v>
      </c>
      <c r="F35" s="998">
        <f t="shared" si="6"/>
        <v>0.28571428571428581</v>
      </c>
      <c r="G35" s="998">
        <f t="shared" si="6"/>
        <v>0.55555555555555558</v>
      </c>
    </row>
    <row r="36" spans="3:7" ht="12.6" customHeight="1" thickBot="1" x14ac:dyDescent="0.3">
      <c r="C36" s="1222" t="s">
        <v>17</v>
      </c>
      <c r="D36" s="999"/>
      <c r="E36" s="998" t="e">
        <f>E33/D33-1</f>
        <v>#DIV/0!</v>
      </c>
      <c r="F36" s="998">
        <f>F33/E33-1</f>
        <v>0.3247316267547482</v>
      </c>
      <c r="G36" s="998">
        <f>G33/F33-1</f>
        <v>0.6042391124358335</v>
      </c>
    </row>
    <row r="37" spans="3:7" ht="12.6" customHeight="1" thickBot="1" x14ac:dyDescent="0.3">
      <c r="C37" s="1230" t="s">
        <v>982</v>
      </c>
      <c r="D37" s="1014"/>
      <c r="E37" s="1014"/>
      <c r="F37" s="1014"/>
      <c r="G37" s="1013"/>
    </row>
    <row r="38" spans="3:7" ht="12.6" customHeight="1" x14ac:dyDescent="0.25">
      <c r="C38" s="1231"/>
      <c r="D38" s="1012">
        <v>2018</v>
      </c>
      <c r="E38" s="1012">
        <v>2019</v>
      </c>
      <c r="F38" s="1012">
        <v>2020</v>
      </c>
      <c r="G38" s="1012">
        <v>2021</v>
      </c>
    </row>
    <row r="39" spans="3:7" ht="12.6" customHeight="1" thickBot="1" x14ac:dyDescent="0.3">
      <c r="C39" s="1222"/>
      <c r="D39" s="1011" t="s">
        <v>6</v>
      </c>
      <c r="E39" s="1011" t="s">
        <v>7</v>
      </c>
      <c r="F39" s="1011" t="s">
        <v>7</v>
      </c>
      <c r="G39" s="1011" t="s">
        <v>7</v>
      </c>
    </row>
    <row r="40" spans="3:7" ht="12.6" customHeight="1" thickBot="1" x14ac:dyDescent="0.3">
      <c r="C40" s="1232" t="s">
        <v>0</v>
      </c>
      <c r="D40" s="948">
        <v>0</v>
      </c>
      <c r="E40" s="948">
        <v>0</v>
      </c>
      <c r="F40" s="948">
        <v>0</v>
      </c>
      <c r="G40" s="948">
        <v>0</v>
      </c>
    </row>
    <row r="41" spans="3:7" ht="12.6" customHeight="1" thickBot="1" x14ac:dyDescent="0.3">
      <c r="C41" s="1233" t="s">
        <v>51</v>
      </c>
      <c r="D41" s="948"/>
      <c r="E41" s="948"/>
      <c r="F41" s="948">
        <v>6.2297881665836607E-2</v>
      </c>
      <c r="G41" s="948">
        <v>0.12311731192667419</v>
      </c>
    </row>
    <row r="42" spans="3:7" ht="12.6" customHeight="1" thickBot="1" x14ac:dyDescent="0.3">
      <c r="C42" s="1233" t="s">
        <v>983</v>
      </c>
      <c r="D42" s="998">
        <v>0</v>
      </c>
      <c r="E42" s="998">
        <v>0</v>
      </c>
      <c r="F42" s="998">
        <v>0</v>
      </c>
      <c r="G42" s="998">
        <v>0</v>
      </c>
    </row>
    <row r="43" spans="3:7" ht="12.6" customHeight="1" thickBot="1" x14ac:dyDescent="0.3">
      <c r="C43" s="1232" t="s">
        <v>49</v>
      </c>
      <c r="D43" s="948">
        <v>0</v>
      </c>
      <c r="E43" s="948">
        <v>0</v>
      </c>
      <c r="F43" s="948">
        <v>0</v>
      </c>
      <c r="G43" s="948">
        <v>0</v>
      </c>
    </row>
    <row r="44" spans="3:7" ht="12.6" customHeight="1" thickBot="1" x14ac:dyDescent="0.3">
      <c r="C44" s="1233" t="s">
        <v>53</v>
      </c>
      <c r="D44" s="948"/>
      <c r="E44" s="948"/>
      <c r="F44" s="948"/>
      <c r="G44" s="948"/>
    </row>
    <row r="45" spans="3:7" ht="12.6" customHeight="1" thickBot="1" x14ac:dyDescent="0.3">
      <c r="C45" s="1233" t="s">
        <v>984</v>
      </c>
      <c r="D45" s="948"/>
      <c r="E45" s="998">
        <v>0</v>
      </c>
      <c r="F45" s="998">
        <v>0</v>
      </c>
      <c r="G45" s="998">
        <v>0</v>
      </c>
    </row>
    <row r="46" spans="3:7" ht="12.6" customHeight="1" thickBot="1" x14ac:dyDescent="0.3">
      <c r="C46" s="1232" t="s">
        <v>1</v>
      </c>
      <c r="D46" s="954">
        <v>0</v>
      </c>
      <c r="E46" s="954">
        <v>0</v>
      </c>
      <c r="F46" s="954">
        <v>0</v>
      </c>
      <c r="G46" s="954">
        <v>0</v>
      </c>
    </row>
    <row r="47" spans="3:7" ht="12.6" customHeight="1" thickBot="1" x14ac:dyDescent="0.3">
      <c r="C47" s="1233" t="s">
        <v>56</v>
      </c>
      <c r="D47" s="998">
        <v>0</v>
      </c>
      <c r="E47" s="998">
        <v>0</v>
      </c>
      <c r="F47" s="998">
        <v>0</v>
      </c>
      <c r="G47" s="998">
        <v>0</v>
      </c>
    </row>
    <row r="48" spans="3:7" ht="12.6" customHeight="1" thickBot="1" x14ac:dyDescent="0.3">
      <c r="C48" s="1233" t="s">
        <v>985</v>
      </c>
      <c r="D48" s="998">
        <v>0</v>
      </c>
      <c r="E48" s="998">
        <v>0</v>
      </c>
      <c r="F48" s="998">
        <v>0</v>
      </c>
      <c r="G48" s="998">
        <v>0</v>
      </c>
    </row>
    <row r="49" spans="3:7" ht="12.6" customHeight="1" thickBot="1" x14ac:dyDescent="0.3">
      <c r="C49" s="1232" t="s">
        <v>2</v>
      </c>
      <c r="D49" s="954">
        <v>0</v>
      </c>
      <c r="E49" s="954">
        <v>0</v>
      </c>
      <c r="F49" s="954">
        <v>0</v>
      </c>
      <c r="G49" s="954">
        <v>0</v>
      </c>
    </row>
    <row r="50" spans="3:7" ht="12.6" customHeight="1" thickBot="1" x14ac:dyDescent="0.3">
      <c r="C50" s="1233" t="s">
        <v>58</v>
      </c>
      <c r="D50" s="998">
        <v>0</v>
      </c>
      <c r="E50" s="998">
        <v>0</v>
      </c>
      <c r="F50" s="998">
        <v>0</v>
      </c>
      <c r="G50" s="998">
        <v>0</v>
      </c>
    </row>
    <row r="51" spans="3:7" ht="12.6" customHeight="1" thickBot="1" x14ac:dyDescent="0.3">
      <c r="C51" s="1233" t="s">
        <v>986</v>
      </c>
      <c r="D51" s="998">
        <v>0</v>
      </c>
      <c r="E51" s="998">
        <v>0</v>
      </c>
      <c r="F51" s="998">
        <v>0</v>
      </c>
      <c r="G51" s="998">
        <v>0</v>
      </c>
    </row>
    <row r="52" spans="3:7" ht="12.6" customHeight="1" thickBot="1" x14ac:dyDescent="0.3">
      <c r="C52" s="1232" t="s">
        <v>28</v>
      </c>
      <c r="D52" s="249">
        <v>0</v>
      </c>
      <c r="E52" s="249">
        <f>E32</f>
        <v>700000</v>
      </c>
      <c r="F52" s="249">
        <f t="shared" ref="F52:G52" si="7">F32</f>
        <v>900000</v>
      </c>
      <c r="G52" s="249">
        <f t="shared" si="7"/>
        <v>1400000</v>
      </c>
    </row>
    <row r="53" spans="3:7" ht="12.6" customHeight="1" thickBot="1" x14ac:dyDescent="0.3">
      <c r="C53" s="1233" t="s">
        <v>59</v>
      </c>
      <c r="D53" s="998">
        <v>0</v>
      </c>
      <c r="E53" s="998">
        <v>0.1504208946358403</v>
      </c>
      <c r="F53" s="998">
        <v>9.4535245126793788E-2</v>
      </c>
      <c r="G53" s="998">
        <v>0.15826703405850751</v>
      </c>
    </row>
    <row r="54" spans="3:7" ht="12.6" customHeight="1" thickBot="1" x14ac:dyDescent="0.3">
      <c r="C54" s="1233" t="s">
        <v>987</v>
      </c>
      <c r="D54" s="998">
        <v>0</v>
      </c>
      <c r="E54" s="998">
        <v>0</v>
      </c>
      <c r="F54" s="998">
        <v>0</v>
      </c>
      <c r="G54" s="998">
        <v>0</v>
      </c>
    </row>
    <row r="55" spans="3:7" ht="12.6" customHeight="1" thickBot="1" x14ac:dyDescent="0.3">
      <c r="C55" s="1232" t="s">
        <v>30</v>
      </c>
      <c r="D55" s="954">
        <v>0</v>
      </c>
      <c r="E55" s="954">
        <v>0</v>
      </c>
      <c r="F55" s="954">
        <v>0</v>
      </c>
      <c r="G55" s="954">
        <v>0</v>
      </c>
    </row>
    <row r="56" spans="3:7" ht="12.6" customHeight="1" thickBot="1" x14ac:dyDescent="0.3">
      <c r="C56" s="1233" t="s">
        <v>60</v>
      </c>
      <c r="D56" s="954"/>
      <c r="E56" s="954"/>
      <c r="F56" s="954"/>
      <c r="G56" s="954"/>
    </row>
    <row r="57" spans="3:7" ht="12.6" customHeight="1" thickBot="1" x14ac:dyDescent="0.3">
      <c r="C57" s="1233" t="s">
        <v>988</v>
      </c>
      <c r="D57" s="954"/>
      <c r="E57" s="954"/>
      <c r="F57" s="954"/>
      <c r="G57" s="954"/>
    </row>
    <row r="58" spans="3:7" ht="12.6" customHeight="1" thickBot="1" x14ac:dyDescent="0.3">
      <c r="C58" s="1232" t="s">
        <v>3</v>
      </c>
      <c r="D58" s="957">
        <v>0</v>
      </c>
      <c r="E58" s="957">
        <v>0</v>
      </c>
      <c r="F58" s="957">
        <v>0</v>
      </c>
      <c r="G58" s="957">
        <v>0</v>
      </c>
    </row>
    <row r="59" spans="3:7" ht="12.6" customHeight="1" thickBot="1" x14ac:dyDescent="0.3">
      <c r="C59" s="1233" t="s">
        <v>62</v>
      </c>
      <c r="D59" s="957"/>
      <c r="E59" s="957"/>
      <c r="F59" s="957"/>
      <c r="G59" s="957"/>
    </row>
    <row r="60" spans="3:7" ht="12.6" customHeight="1" thickBot="1" x14ac:dyDescent="0.3">
      <c r="C60" s="1233" t="s">
        <v>989</v>
      </c>
      <c r="D60" s="957"/>
      <c r="E60" s="957"/>
      <c r="F60" s="957"/>
      <c r="G60" s="957"/>
    </row>
    <row r="61" spans="3:7" ht="12.6" customHeight="1" thickBot="1" x14ac:dyDescent="0.3">
      <c r="C61" s="1234" t="s">
        <v>764</v>
      </c>
      <c r="D61" s="954">
        <f>SUM(D40:D58)</f>
        <v>0</v>
      </c>
      <c r="E61" s="954">
        <f>SUM(E40:E58)</f>
        <v>700000.15042089461</v>
      </c>
      <c r="F61" s="954">
        <f>SUM(F40:F58)</f>
        <v>900000.15683312679</v>
      </c>
      <c r="G61" s="954">
        <f>SUM(G40:G58)</f>
        <v>1400000.2813843458</v>
      </c>
    </row>
    <row r="62" spans="3:7" ht="12.6" customHeight="1" thickBot="1" x14ac:dyDescent="0.3">
      <c r="C62" s="1235" t="s">
        <v>70</v>
      </c>
      <c r="D62" s="967">
        <f>D61-D32</f>
        <v>0</v>
      </c>
      <c r="E62" s="967">
        <f>E61-E32</f>
        <v>0.15042089461348951</v>
      </c>
      <c r="F62" s="967">
        <f>F61-F32</f>
        <v>0.15683312679175287</v>
      </c>
      <c r="G62" s="967">
        <f>G61-G32</f>
        <v>0.28138434584252536</v>
      </c>
    </row>
    <row r="63" spans="3:7" s="978" customFormat="1" ht="45" customHeight="1" thickBot="1" x14ac:dyDescent="0.3">
      <c r="C63" s="1228" t="s">
        <v>497</v>
      </c>
      <c r="D63" s="2680" t="s">
        <v>792</v>
      </c>
      <c r="E63" s="2681"/>
      <c r="F63" s="2681"/>
      <c r="G63" s="2682"/>
    </row>
    <row r="64" spans="3:7" ht="19.149999999999999" customHeight="1" thickBot="1" x14ac:dyDescent="0.3">
      <c r="C64" s="2698" t="s">
        <v>506</v>
      </c>
      <c r="D64" s="2699"/>
      <c r="E64" s="2699"/>
      <c r="F64" s="2699"/>
      <c r="G64" s="2700"/>
    </row>
    <row r="65" spans="3:7" ht="12.6" customHeight="1" x14ac:dyDescent="0.25">
      <c r="C65" s="1236"/>
      <c r="D65" s="976">
        <v>2018</v>
      </c>
      <c r="E65" s="976">
        <v>2019</v>
      </c>
      <c r="F65" s="976">
        <v>2020</v>
      </c>
      <c r="G65" s="976">
        <v>2021</v>
      </c>
    </row>
    <row r="66" spans="3:7" ht="12.6" customHeight="1" thickBot="1" x14ac:dyDescent="0.3">
      <c r="C66" s="1237" t="s">
        <v>790</v>
      </c>
      <c r="D66" s="989" t="s">
        <v>48</v>
      </c>
      <c r="E66" s="989" t="s">
        <v>42</v>
      </c>
      <c r="F66" s="989" t="s">
        <v>42</v>
      </c>
      <c r="G66" s="989" t="s">
        <v>42</v>
      </c>
    </row>
    <row r="67" spans="3:7" ht="12.6" customHeight="1" thickBot="1" x14ac:dyDescent="0.3">
      <c r="C67" s="1222" t="s">
        <v>791</v>
      </c>
      <c r="D67" s="988">
        <v>73347</v>
      </c>
      <c r="E67" s="988">
        <v>71300</v>
      </c>
      <c r="F67" s="988">
        <v>69200</v>
      </c>
      <c r="G67" s="988">
        <v>67100</v>
      </c>
    </row>
    <row r="68" spans="3:7" ht="15" customHeight="1" thickBot="1" x14ac:dyDescent="0.3">
      <c r="C68" s="1237" t="s">
        <v>790</v>
      </c>
      <c r="D68" s="985">
        <v>10</v>
      </c>
      <c r="E68" s="985">
        <v>12</v>
      </c>
      <c r="F68" s="985">
        <v>15</v>
      </c>
      <c r="G68" s="985">
        <v>15</v>
      </c>
    </row>
    <row r="69" spans="3:7" ht="20.45" customHeight="1" thickBot="1" x14ac:dyDescent="0.3">
      <c r="C69" s="1237" t="s">
        <v>789</v>
      </c>
      <c r="D69" s="986">
        <v>510000</v>
      </c>
      <c r="E69" s="986">
        <v>1030000</v>
      </c>
      <c r="F69" s="986">
        <v>1350000</v>
      </c>
      <c r="G69" s="986">
        <v>1780000</v>
      </c>
    </row>
    <row r="70" spans="3:7" ht="19.149999999999999" customHeight="1" thickBot="1" x14ac:dyDescent="0.3">
      <c r="C70" s="2677" t="s">
        <v>536</v>
      </c>
      <c r="D70" s="2678"/>
      <c r="E70" s="2678"/>
      <c r="F70" s="2678"/>
      <c r="G70" s="2679"/>
    </row>
    <row r="71" spans="3:7" ht="25.15" customHeight="1" thickBot="1" x14ac:dyDescent="0.3">
      <c r="C71" s="2701" t="s">
        <v>788</v>
      </c>
      <c r="D71" s="2702"/>
      <c r="E71" s="2702"/>
      <c r="F71" s="2702"/>
      <c r="G71" s="2703"/>
    </row>
    <row r="72" spans="3:7" ht="58.15" customHeight="1" thickBot="1" x14ac:dyDescent="0.3">
      <c r="C72" s="1238" t="s">
        <v>659</v>
      </c>
      <c r="D72" s="2704" t="s">
        <v>787</v>
      </c>
      <c r="E72" s="2705"/>
      <c r="F72" s="2705"/>
      <c r="G72" s="2706"/>
    </row>
    <row r="73" spans="3:7" ht="42" customHeight="1" thickBot="1" x14ac:dyDescent="0.3">
      <c r="C73" s="1222" t="s">
        <v>10</v>
      </c>
      <c r="D73" s="2704" t="s">
        <v>786</v>
      </c>
      <c r="E73" s="2705"/>
      <c r="F73" s="2705"/>
      <c r="G73" s="2706"/>
    </row>
    <row r="74" spans="3:7" ht="12.6" customHeight="1" thickBot="1" x14ac:dyDescent="0.3">
      <c r="C74" s="1222" t="s">
        <v>13</v>
      </c>
      <c r="D74" s="2707" t="s">
        <v>785</v>
      </c>
      <c r="E74" s="2708"/>
      <c r="F74" s="2708"/>
      <c r="G74" s="2709"/>
    </row>
    <row r="75" spans="3:7" ht="12.6" customHeight="1" x14ac:dyDescent="0.25">
      <c r="C75" s="2791"/>
      <c r="D75" s="971">
        <v>2018</v>
      </c>
      <c r="E75" s="971">
        <v>2019</v>
      </c>
      <c r="F75" s="971">
        <v>2020</v>
      </c>
      <c r="G75" s="971">
        <v>2021</v>
      </c>
    </row>
    <row r="76" spans="3:7" ht="12.6" customHeight="1" thickBot="1" x14ac:dyDescent="0.3">
      <c r="C76" s="2792"/>
      <c r="D76" s="970" t="s">
        <v>6</v>
      </c>
      <c r="E76" s="970" t="s">
        <v>7</v>
      </c>
      <c r="F76" s="970" t="s">
        <v>7</v>
      </c>
      <c r="G76" s="970" t="s">
        <v>7</v>
      </c>
    </row>
    <row r="77" spans="3:7" ht="12.6" customHeight="1" thickBot="1" x14ac:dyDescent="0.3">
      <c r="C77" s="1222" t="s">
        <v>9</v>
      </c>
      <c r="D77" s="985">
        <v>10</v>
      </c>
      <c r="E77" s="985">
        <v>12</v>
      </c>
      <c r="F77" s="985">
        <v>15</v>
      </c>
      <c r="G77" s="985">
        <v>15</v>
      </c>
    </row>
    <row r="78" spans="3:7" ht="12.6" customHeight="1" thickBot="1" x14ac:dyDescent="0.3">
      <c r="C78" s="1222" t="s">
        <v>14</v>
      </c>
      <c r="D78" s="984">
        <f>'09450 IAL F 2 P Aktual 19-21 '!D135-'Formati 2.1 Arsimi Larte'!D120</f>
        <v>0</v>
      </c>
      <c r="E78" s="984">
        <f>'09450 IAL F 2 P Aktual 19-21 '!E135-'Formati 2.1 Arsimi Larte'!E120</f>
        <v>400000</v>
      </c>
      <c r="F78" s="984">
        <f>'09450 IAL F 2 P Aktual 19-21 '!F135-'Formati 2.1 Arsimi Larte'!F120</f>
        <v>520000</v>
      </c>
      <c r="G78" s="984">
        <f>'09450 IAL F 2 P Aktual 19-21 '!G135-'Formati 2.1 Arsimi Larte'!G120</f>
        <v>950000</v>
      </c>
    </row>
    <row r="79" spans="3:7" ht="12.6" customHeight="1" thickBot="1" x14ac:dyDescent="0.3">
      <c r="C79" s="1222" t="s">
        <v>23</v>
      </c>
      <c r="D79" s="983">
        <f>D78/D77</f>
        <v>0</v>
      </c>
      <c r="E79" s="983">
        <f>E78/E77</f>
        <v>33333.333333333336</v>
      </c>
      <c r="F79" s="983">
        <f>F78/F77</f>
        <v>34666.666666666664</v>
      </c>
      <c r="G79" s="983">
        <f>G78/G77</f>
        <v>63333.333333333336</v>
      </c>
    </row>
    <row r="80" spans="3:7" ht="12.6" customHeight="1" thickBot="1" x14ac:dyDescent="0.3">
      <c r="C80" s="1222" t="s">
        <v>15</v>
      </c>
      <c r="D80" s="972"/>
      <c r="E80" s="972">
        <f t="shared" ref="E80:G82" si="8">E77/D77-1</f>
        <v>0.19999999999999996</v>
      </c>
      <c r="F80" s="972">
        <f t="shared" si="8"/>
        <v>0.25</v>
      </c>
      <c r="G80" s="972">
        <f t="shared" si="8"/>
        <v>0</v>
      </c>
    </row>
    <row r="81" spans="3:7" ht="12.6" customHeight="1" thickBot="1" x14ac:dyDescent="0.3">
      <c r="C81" s="1222" t="s">
        <v>16</v>
      </c>
      <c r="D81" s="972"/>
      <c r="E81" s="972" t="e">
        <f>E78/D78-1</f>
        <v>#DIV/0!</v>
      </c>
      <c r="F81" s="972">
        <f>F78/E78-1</f>
        <v>0.30000000000000004</v>
      </c>
      <c r="G81" s="972">
        <f t="shared" si="8"/>
        <v>0.82692307692307687</v>
      </c>
    </row>
    <row r="82" spans="3:7" ht="12.6" customHeight="1" thickBot="1" x14ac:dyDescent="0.3">
      <c r="C82" s="1222" t="s">
        <v>17</v>
      </c>
      <c r="D82" s="972"/>
      <c r="E82" s="972" t="e">
        <f t="shared" si="8"/>
        <v>#DIV/0!</v>
      </c>
      <c r="F82" s="972">
        <f t="shared" si="8"/>
        <v>3.9999999999999813E-2</v>
      </c>
      <c r="G82" s="972">
        <f t="shared" si="8"/>
        <v>0.82692307692307709</v>
      </c>
    </row>
    <row r="83" spans="3:7" ht="16.149999999999999" customHeight="1" thickBot="1" x14ac:dyDescent="0.3">
      <c r="C83" s="2688" t="s">
        <v>781</v>
      </c>
      <c r="D83" s="2689"/>
      <c r="E83" s="2689"/>
      <c r="F83" s="2689"/>
      <c r="G83" s="2690"/>
    </row>
    <row r="84" spans="3:7" ht="12.6" customHeight="1" x14ac:dyDescent="0.25">
      <c r="C84" s="2791"/>
      <c r="D84" s="971">
        <v>2018</v>
      </c>
      <c r="E84" s="971">
        <v>2019</v>
      </c>
      <c r="F84" s="971">
        <v>2020</v>
      </c>
      <c r="G84" s="971">
        <v>2021</v>
      </c>
    </row>
    <row r="85" spans="3:7" ht="12.6" customHeight="1" thickBot="1" x14ac:dyDescent="0.3">
      <c r="C85" s="2792"/>
      <c r="D85" s="970" t="s">
        <v>6</v>
      </c>
      <c r="E85" s="970" t="s">
        <v>7</v>
      </c>
      <c r="F85" s="970" t="s">
        <v>7</v>
      </c>
      <c r="G85" s="970" t="s">
        <v>7</v>
      </c>
    </row>
    <row r="86" spans="3:7" ht="12.6" customHeight="1" thickBot="1" x14ac:dyDescent="0.3">
      <c r="C86" s="1239" t="s">
        <v>104</v>
      </c>
      <c r="D86" s="982"/>
      <c r="E86" s="982"/>
      <c r="F86" s="982"/>
      <c r="G86" s="982"/>
    </row>
    <row r="87" spans="3:7" ht="12.6" customHeight="1" thickBot="1" x14ac:dyDescent="0.3">
      <c r="C87" s="1239" t="s">
        <v>105</v>
      </c>
      <c r="D87" s="979">
        <f>D78</f>
        <v>0</v>
      </c>
      <c r="E87" s="979">
        <f>E78</f>
        <v>400000</v>
      </c>
      <c r="F87" s="979">
        <f>F78</f>
        <v>520000</v>
      </c>
      <c r="G87" s="979">
        <f>G78</f>
        <v>950000</v>
      </c>
    </row>
    <row r="88" spans="3:7" ht="12.6" customHeight="1" x14ac:dyDescent="0.25">
      <c r="C88" s="1240" t="s">
        <v>68</v>
      </c>
      <c r="D88" s="979">
        <f>D87+D86</f>
        <v>0</v>
      </c>
      <c r="E88" s="979">
        <f>E87+E86</f>
        <v>400000</v>
      </c>
      <c r="F88" s="979">
        <f>F87+F86</f>
        <v>520000</v>
      </c>
      <c r="G88" s="979">
        <f>G87+G86</f>
        <v>950000</v>
      </c>
    </row>
    <row r="89" spans="3:7" ht="12.6" customHeight="1" thickBot="1" x14ac:dyDescent="0.3">
      <c r="C89" s="1235" t="s">
        <v>70</v>
      </c>
      <c r="D89" s="967">
        <f>D88-D78</f>
        <v>0</v>
      </c>
      <c r="E89" s="967">
        <f>E88-E78</f>
        <v>0</v>
      </c>
      <c r="F89" s="967">
        <f>F88-F78</f>
        <v>0</v>
      </c>
      <c r="G89" s="967">
        <f>G88-G78</f>
        <v>0</v>
      </c>
    </row>
    <row r="90" spans="3:7" s="978" customFormat="1" ht="79.900000000000006" customHeight="1" thickBot="1" x14ac:dyDescent="0.3">
      <c r="C90" s="1228" t="s">
        <v>512</v>
      </c>
      <c r="D90" s="2671" t="s">
        <v>784</v>
      </c>
      <c r="E90" s="2672"/>
      <c r="F90" s="2672"/>
      <c r="G90" s="2673"/>
    </row>
    <row r="91" spans="3:7" ht="12.6" customHeight="1" x14ac:dyDescent="0.25">
      <c r="C91" s="2674" t="s">
        <v>537</v>
      </c>
      <c r="D91" s="2675"/>
      <c r="E91" s="2675"/>
      <c r="F91" s="2675"/>
      <c r="G91" s="2676"/>
    </row>
    <row r="92" spans="3:7" ht="12.6" customHeight="1" x14ac:dyDescent="0.25">
      <c r="C92" s="1236"/>
      <c r="D92" s="976">
        <v>2018</v>
      </c>
      <c r="E92" s="976">
        <v>2019</v>
      </c>
      <c r="F92" s="976">
        <v>2020</v>
      </c>
      <c r="G92" s="976">
        <v>2021</v>
      </c>
    </row>
    <row r="93" spans="3:7" ht="28.15" customHeight="1" thickBot="1" x14ac:dyDescent="0.3">
      <c r="C93" s="1241" t="s">
        <v>783</v>
      </c>
      <c r="D93" s="974">
        <v>14000</v>
      </c>
      <c r="E93" s="974">
        <v>14000</v>
      </c>
      <c r="F93" s="974">
        <v>14000</v>
      </c>
      <c r="G93" s="974">
        <v>14000</v>
      </c>
    </row>
    <row r="94" spans="3:7" ht="15.6" customHeight="1" thickBot="1" x14ac:dyDescent="0.3">
      <c r="C94" s="1198" t="s">
        <v>791</v>
      </c>
      <c r="D94" s="988">
        <v>73347</v>
      </c>
      <c r="E94" s="988">
        <v>71300</v>
      </c>
      <c r="F94" s="988">
        <v>69200</v>
      </c>
      <c r="G94" s="988">
        <v>67100</v>
      </c>
    </row>
    <row r="95" spans="3:7" ht="13.9" customHeight="1" thickBot="1" x14ac:dyDescent="0.3">
      <c r="C95" s="1198" t="s">
        <v>809</v>
      </c>
      <c r="D95" s="988">
        <v>107555</v>
      </c>
      <c r="E95" s="988">
        <v>103400</v>
      </c>
      <c r="F95" s="988">
        <v>100200</v>
      </c>
      <c r="G95" s="988">
        <v>97100</v>
      </c>
    </row>
    <row r="96" spans="3:7" ht="21" customHeight="1" thickBot="1" x14ac:dyDescent="0.3">
      <c r="C96" s="2677" t="s">
        <v>535</v>
      </c>
      <c r="D96" s="2678"/>
      <c r="E96" s="2678"/>
      <c r="F96" s="2678"/>
      <c r="G96" s="2679"/>
    </row>
    <row r="97" spans="3:7" ht="12.6" customHeight="1" thickBot="1" x14ac:dyDescent="0.3">
      <c r="C97" s="2677" t="s">
        <v>121</v>
      </c>
      <c r="D97" s="2678"/>
      <c r="E97" s="2678"/>
      <c r="F97" s="2678"/>
      <c r="G97" s="2679"/>
    </row>
    <row r="98" spans="3:7" ht="31.9" customHeight="1" thickBot="1" x14ac:dyDescent="0.3">
      <c r="C98" s="1238" t="s">
        <v>648</v>
      </c>
      <c r="D98" s="2680" t="s">
        <v>968</v>
      </c>
      <c r="E98" s="2681"/>
      <c r="F98" s="2681"/>
      <c r="G98" s="2682"/>
    </row>
    <row r="99" spans="3:7" ht="160.9" customHeight="1" thickBot="1" x14ac:dyDescent="0.3">
      <c r="C99" s="1222" t="s">
        <v>10</v>
      </c>
      <c r="D99" s="2680" t="s">
        <v>975</v>
      </c>
      <c r="E99" s="2681"/>
      <c r="F99" s="2681"/>
      <c r="G99" s="2682"/>
    </row>
    <row r="100" spans="3:7" ht="12.6" customHeight="1" thickBot="1" x14ac:dyDescent="0.3">
      <c r="C100" s="1222" t="s">
        <v>13</v>
      </c>
      <c r="D100" s="2683" t="s">
        <v>782</v>
      </c>
      <c r="E100" s="2684"/>
      <c r="F100" s="2684"/>
      <c r="G100" s="2685"/>
    </row>
    <row r="101" spans="3:7" ht="12.6" customHeight="1" x14ac:dyDescent="0.25">
      <c r="C101" s="2791"/>
      <c r="D101" s="971">
        <v>2018</v>
      </c>
      <c r="E101" s="971">
        <v>2019</v>
      </c>
      <c r="F101" s="971">
        <v>2020</v>
      </c>
      <c r="G101" s="971">
        <v>2021</v>
      </c>
    </row>
    <row r="102" spans="3:7" ht="12.6" customHeight="1" thickBot="1" x14ac:dyDescent="0.3">
      <c r="C102" s="2792"/>
      <c r="D102" s="970" t="s">
        <v>6</v>
      </c>
      <c r="E102" s="970" t="s">
        <v>7</v>
      </c>
      <c r="F102" s="970" t="s">
        <v>7</v>
      </c>
      <c r="G102" s="970" t="s">
        <v>7</v>
      </c>
    </row>
    <row r="103" spans="3:7" ht="12.6" customHeight="1" thickBot="1" x14ac:dyDescent="0.3">
      <c r="C103" s="1222" t="s">
        <v>9</v>
      </c>
      <c r="D103" s="974">
        <v>14000</v>
      </c>
      <c r="E103" s="974">
        <v>14000</v>
      </c>
      <c r="F103" s="974">
        <v>14000</v>
      </c>
      <c r="G103" s="974">
        <v>14000</v>
      </c>
    </row>
    <row r="104" spans="3:7" ht="12.6" customHeight="1" thickBot="1" x14ac:dyDescent="0.3">
      <c r="C104" s="1222" t="s">
        <v>14</v>
      </c>
      <c r="D104" s="974">
        <f>'09450 IAL F 2 P Aktual 19-21 '!D161-'Formati 2.1 Arsimi Larte'!D146</f>
        <v>0</v>
      </c>
      <c r="E104" s="974">
        <f>'09450 IAL F 2 P Aktual 19-21 '!E161-'Formati 2.1 Arsimi Larte'!E146</f>
        <v>50000</v>
      </c>
      <c r="F104" s="974">
        <f>'09450 IAL F 2 P Aktual 19-21 '!F161-'Formati 2.1 Arsimi Larte'!F146</f>
        <v>120000</v>
      </c>
      <c r="G104" s="974">
        <f>'09450 IAL F 2 P Aktual 19-21 '!G161-'Formati 2.1 Arsimi Larte'!G146</f>
        <v>200000</v>
      </c>
    </row>
    <row r="105" spans="3:7" ht="12.6" customHeight="1" thickBot="1" x14ac:dyDescent="0.3">
      <c r="C105" s="1222" t="s">
        <v>23</v>
      </c>
      <c r="D105" s="973">
        <f>D104/D103</f>
        <v>0</v>
      </c>
      <c r="E105" s="973">
        <f>E104/E103</f>
        <v>3.5714285714285716</v>
      </c>
      <c r="F105" s="973">
        <f>F104/F103</f>
        <v>8.5714285714285712</v>
      </c>
      <c r="G105" s="973">
        <f>G104/G103</f>
        <v>14.285714285714286</v>
      </c>
    </row>
    <row r="106" spans="3:7" ht="12.6" customHeight="1" thickBot="1" x14ac:dyDescent="0.3">
      <c r="C106" s="1222" t="s">
        <v>15</v>
      </c>
      <c r="D106" s="972"/>
      <c r="E106" s="972">
        <f t="shared" ref="E106:G108" si="9">E103/D103-1</f>
        <v>0</v>
      </c>
      <c r="F106" s="972">
        <f t="shared" si="9"/>
        <v>0</v>
      </c>
      <c r="G106" s="972">
        <f t="shared" si="9"/>
        <v>0</v>
      </c>
    </row>
    <row r="107" spans="3:7" ht="12.6" customHeight="1" thickBot="1" x14ac:dyDescent="0.3">
      <c r="C107" s="1222" t="s">
        <v>16</v>
      </c>
      <c r="D107" s="972"/>
      <c r="E107" s="972" t="e">
        <f>E104/D104-1</f>
        <v>#DIV/0!</v>
      </c>
      <c r="F107" s="972">
        <f t="shared" si="9"/>
        <v>1.4</v>
      </c>
      <c r="G107" s="972">
        <f t="shared" si="9"/>
        <v>0.66666666666666674</v>
      </c>
    </row>
    <row r="108" spans="3:7" ht="12.6" customHeight="1" thickBot="1" x14ac:dyDescent="0.3">
      <c r="C108" s="1222" t="s">
        <v>17</v>
      </c>
      <c r="D108" s="972"/>
      <c r="E108" s="972" t="e">
        <f t="shared" si="9"/>
        <v>#DIV/0!</v>
      </c>
      <c r="F108" s="972">
        <f t="shared" si="9"/>
        <v>1.4</v>
      </c>
      <c r="G108" s="972">
        <f t="shared" si="9"/>
        <v>0.66666666666666674</v>
      </c>
    </row>
    <row r="109" spans="3:7" ht="22.15" customHeight="1" thickBot="1" x14ac:dyDescent="0.3">
      <c r="C109" s="2688" t="s">
        <v>781</v>
      </c>
      <c r="D109" s="2689"/>
      <c r="E109" s="2689"/>
      <c r="F109" s="2689"/>
      <c r="G109" s="2690"/>
    </row>
    <row r="110" spans="3:7" ht="12.6" customHeight="1" x14ac:dyDescent="0.25">
      <c r="C110" s="2791"/>
      <c r="D110" s="971">
        <v>2018</v>
      </c>
      <c r="E110" s="971">
        <v>2019</v>
      </c>
      <c r="F110" s="971">
        <v>2020</v>
      </c>
      <c r="G110" s="971">
        <v>2021</v>
      </c>
    </row>
    <row r="111" spans="3:7" ht="12.6" customHeight="1" thickBot="1" x14ac:dyDescent="0.3">
      <c r="C111" s="2792"/>
      <c r="D111" s="970" t="s">
        <v>6</v>
      </c>
      <c r="E111" s="970" t="s">
        <v>7</v>
      </c>
      <c r="F111" s="970" t="s">
        <v>7</v>
      </c>
      <c r="G111" s="970" t="s">
        <v>7</v>
      </c>
    </row>
    <row r="112" spans="3:7" ht="12.6" customHeight="1" thickBot="1" x14ac:dyDescent="0.3">
      <c r="C112" s="1239" t="s">
        <v>0</v>
      </c>
      <c r="D112" s="948">
        <v>0</v>
      </c>
      <c r="E112" s="948">
        <v>0</v>
      </c>
      <c r="F112" s="948">
        <v>0</v>
      </c>
      <c r="G112" s="948">
        <v>0</v>
      </c>
    </row>
    <row r="113" spans="3:15" ht="12.6" customHeight="1" thickBot="1" x14ac:dyDescent="0.3">
      <c r="C113" s="1239" t="s">
        <v>49</v>
      </c>
      <c r="D113" s="948">
        <v>0</v>
      </c>
      <c r="E113" s="948">
        <v>0</v>
      </c>
      <c r="F113" s="948">
        <v>0</v>
      </c>
      <c r="G113" s="948">
        <v>0</v>
      </c>
    </row>
    <row r="114" spans="3:15" ht="12.6" customHeight="1" thickBot="1" x14ac:dyDescent="0.3">
      <c r="C114" s="1239" t="s">
        <v>1</v>
      </c>
      <c r="D114" s="954">
        <v>0</v>
      </c>
      <c r="E114" s="954">
        <v>0</v>
      </c>
      <c r="F114" s="954">
        <v>0</v>
      </c>
      <c r="G114" s="954">
        <v>0</v>
      </c>
    </row>
    <row r="115" spans="3:15" ht="12.6" customHeight="1" thickBot="1" x14ac:dyDescent="0.3">
      <c r="C115" s="1239" t="s">
        <v>2</v>
      </c>
      <c r="D115" s="954">
        <v>0</v>
      </c>
      <c r="E115" s="954">
        <v>0</v>
      </c>
      <c r="F115" s="954">
        <v>0</v>
      </c>
      <c r="G115" s="954">
        <v>0</v>
      </c>
    </row>
    <row r="116" spans="3:15" ht="12.6" customHeight="1" thickBot="1" x14ac:dyDescent="0.3">
      <c r="C116" s="1239" t="s">
        <v>28</v>
      </c>
      <c r="D116" s="954">
        <f>D104</f>
        <v>0</v>
      </c>
      <c r="E116" s="954">
        <f>E104</f>
        <v>50000</v>
      </c>
      <c r="F116" s="954">
        <f>F104</f>
        <v>120000</v>
      </c>
      <c r="G116" s="954">
        <f>G104</f>
        <v>200000</v>
      </c>
    </row>
    <row r="117" spans="3:15" ht="12.6" customHeight="1" thickBot="1" x14ac:dyDescent="0.3">
      <c r="C117" s="1242" t="s">
        <v>59</v>
      </c>
      <c r="D117" s="954">
        <v>0</v>
      </c>
      <c r="E117" s="973">
        <v>3.5714285714285716</v>
      </c>
      <c r="F117" s="973">
        <v>8.5714285714285712</v>
      </c>
      <c r="G117" s="973">
        <v>14.285714285714286</v>
      </c>
    </row>
    <row r="118" spans="3:15" ht="12.6" customHeight="1" thickBot="1" x14ac:dyDescent="0.3">
      <c r="C118" s="1242" t="s">
        <v>987</v>
      </c>
      <c r="D118" s="954">
        <v>0</v>
      </c>
      <c r="E118" s="1183">
        <v>0</v>
      </c>
      <c r="F118" s="1183">
        <v>0</v>
      </c>
      <c r="G118" s="1183">
        <v>0</v>
      </c>
    </row>
    <row r="119" spans="3:15" ht="12.6" customHeight="1" thickBot="1" x14ac:dyDescent="0.3">
      <c r="C119" s="1239" t="s">
        <v>30</v>
      </c>
      <c r="D119" s="954"/>
      <c r="E119" s="948"/>
      <c r="F119" s="948"/>
      <c r="G119" s="948"/>
    </row>
    <row r="120" spans="3:15" ht="12.6" customHeight="1" thickBot="1" x14ac:dyDescent="0.3">
      <c r="C120" s="1239" t="s">
        <v>3</v>
      </c>
      <c r="D120" s="957">
        <v>0</v>
      </c>
      <c r="E120" s="957">
        <v>0</v>
      </c>
      <c r="F120" s="957">
        <v>0</v>
      </c>
      <c r="G120" s="957">
        <v>0</v>
      </c>
    </row>
    <row r="121" spans="3:15" ht="12.6" customHeight="1" thickBot="1" x14ac:dyDescent="0.3">
      <c r="C121" s="1240" t="s">
        <v>68</v>
      </c>
      <c r="D121" s="954">
        <f>D120+D119+D116+D115+D114+D113+D112</f>
        <v>0</v>
      </c>
      <c r="E121" s="954">
        <f>E120+E119+E116+E115+E114+E113+E112</f>
        <v>50000</v>
      </c>
      <c r="F121" s="954">
        <f>F120+F119+F116+F115+F114+F113+F112</f>
        <v>120000</v>
      </c>
      <c r="G121" s="954">
        <f>G120+G119+G116+G115+G114+G113+G112</f>
        <v>200000</v>
      </c>
    </row>
    <row r="122" spans="3:15" ht="12.6" customHeight="1" thickBot="1" x14ac:dyDescent="0.3">
      <c r="C122" s="1235" t="s">
        <v>70</v>
      </c>
      <c r="D122" s="967">
        <f>D121-D104</f>
        <v>0</v>
      </c>
      <c r="E122" s="967">
        <f>E121-E104</f>
        <v>0</v>
      </c>
      <c r="F122" s="967">
        <f>F121-F104</f>
        <v>0</v>
      </c>
      <c r="G122" s="967">
        <f>G121-G104</f>
        <v>0</v>
      </c>
    </row>
    <row r="123" spans="3:15" ht="9.6" customHeight="1" thickBot="1" x14ac:dyDescent="0.3">
      <c r="C123" s="1222"/>
      <c r="D123" s="2691"/>
      <c r="E123" s="2692"/>
      <c r="F123" s="2692"/>
      <c r="G123" s="2693"/>
      <c r="I123" s="959"/>
      <c r="J123" s="959"/>
      <c r="K123" s="959"/>
      <c r="L123" s="959"/>
      <c r="M123" s="959"/>
      <c r="N123" s="959"/>
      <c r="O123" s="959"/>
    </row>
    <row r="124" spans="3:15" ht="12.6" customHeight="1" thickBot="1" x14ac:dyDescent="0.3">
      <c r="C124" s="1243"/>
      <c r="D124" s="965">
        <f>D126-D125</f>
        <v>0</v>
      </c>
      <c r="E124" s="965">
        <f>E126-E125</f>
        <v>0.15042089461348951</v>
      </c>
      <c r="F124" s="965">
        <f>F126-F125</f>
        <v>0.15683312667533755</v>
      </c>
      <c r="G124" s="965">
        <f>G126-G125</f>
        <v>0.28138434607535601</v>
      </c>
      <c r="I124" s="959"/>
      <c r="J124" s="959"/>
      <c r="K124" s="959"/>
      <c r="L124" s="959"/>
      <c r="M124" s="959"/>
      <c r="N124" s="959"/>
      <c r="O124" s="959"/>
    </row>
    <row r="125" spans="3:15" ht="16.149999999999999" customHeight="1" thickBot="1" x14ac:dyDescent="0.3">
      <c r="C125" s="1244" t="s">
        <v>116</v>
      </c>
      <c r="D125" s="951">
        <f>D32+D78+D104</f>
        <v>0</v>
      </c>
      <c r="E125" s="951">
        <f t="shared" ref="E125:G125" si="10">E32+E78+E104</f>
        <v>1150000</v>
      </c>
      <c r="F125" s="951">
        <f t="shared" si="10"/>
        <v>1540000</v>
      </c>
      <c r="G125" s="951">
        <f t="shared" si="10"/>
        <v>2550000</v>
      </c>
      <c r="I125" s="959"/>
      <c r="J125" s="959"/>
      <c r="K125" s="959"/>
      <c r="L125" s="959"/>
      <c r="M125" s="959"/>
      <c r="N125" s="959"/>
      <c r="O125" s="959"/>
    </row>
    <row r="126" spans="3:15" ht="14.45" customHeight="1" thickBot="1" x14ac:dyDescent="0.3">
      <c r="C126" s="1244" t="s">
        <v>117</v>
      </c>
      <c r="D126" s="963">
        <f>D61+D88+D121</f>
        <v>0</v>
      </c>
      <c r="E126" s="963">
        <f t="shared" ref="E126:G126" si="11">E61+E88+E121</f>
        <v>1150000.1504208946</v>
      </c>
      <c r="F126" s="963">
        <f t="shared" si="11"/>
        <v>1540000.1568331267</v>
      </c>
      <c r="G126" s="963">
        <f t="shared" si="11"/>
        <v>2550000.2813843461</v>
      </c>
      <c r="I126" s="959"/>
      <c r="J126" s="959"/>
      <c r="K126" s="959"/>
      <c r="L126" s="959"/>
      <c r="M126" s="959"/>
      <c r="N126" s="959"/>
      <c r="O126" s="959"/>
    </row>
    <row r="127" spans="3:15" ht="12.6" customHeight="1" thickBot="1" x14ac:dyDescent="0.3">
      <c r="C127" s="1219" t="s">
        <v>24</v>
      </c>
      <c r="D127" s="961"/>
      <c r="E127" s="960" t="e">
        <f>E126/D126-1</f>
        <v>#DIV/0!</v>
      </c>
      <c r="F127" s="960">
        <f>F126/E126-1</f>
        <v>0.33913039599994299</v>
      </c>
      <c r="G127" s="960">
        <f>G126/F126-1</f>
        <v>0.65584416993060235</v>
      </c>
      <c r="I127" s="959"/>
      <c r="J127" s="959"/>
      <c r="K127" s="959"/>
      <c r="L127" s="959"/>
      <c r="M127" s="959"/>
      <c r="N127" s="959"/>
      <c r="O127" s="959"/>
    </row>
    <row r="128" spans="3:15" ht="12.6" customHeight="1" thickBot="1" x14ac:dyDescent="0.3">
      <c r="C128" s="1239" t="s">
        <v>0</v>
      </c>
      <c r="D128" s="949">
        <f>D40+D112</f>
        <v>0</v>
      </c>
      <c r="E128" s="949">
        <f t="shared" ref="E128:G128" si="12">E40+E112</f>
        <v>0</v>
      </c>
      <c r="F128" s="949">
        <f t="shared" si="12"/>
        <v>0</v>
      </c>
      <c r="G128" s="949">
        <f t="shared" si="12"/>
        <v>0</v>
      </c>
      <c r="I128" s="959"/>
      <c r="J128" s="959"/>
      <c r="K128" s="959"/>
      <c r="L128" s="959"/>
      <c r="M128" s="959"/>
      <c r="N128" s="959"/>
      <c r="O128" s="959"/>
    </row>
    <row r="129" spans="3:15" ht="12.6" customHeight="1" thickBot="1" x14ac:dyDescent="0.3">
      <c r="C129" s="1184" t="s">
        <v>25</v>
      </c>
      <c r="D129" s="954"/>
      <c r="E129" s="953">
        <v>0</v>
      </c>
      <c r="F129" s="953">
        <v>0</v>
      </c>
      <c r="G129" s="953">
        <v>0</v>
      </c>
      <c r="I129" s="959"/>
      <c r="J129" s="959"/>
      <c r="K129" s="959"/>
      <c r="L129" s="959"/>
      <c r="M129" s="959"/>
      <c r="N129" s="959"/>
      <c r="O129" s="959"/>
    </row>
    <row r="130" spans="3:15" ht="12.6" customHeight="1" thickBot="1" x14ac:dyDescent="0.3">
      <c r="C130" s="1239" t="s">
        <v>49</v>
      </c>
      <c r="D130" s="948">
        <f>D43+D113</f>
        <v>0</v>
      </c>
      <c r="E130" s="948">
        <f t="shared" ref="E130:G130" si="13">E43+E113</f>
        <v>0</v>
      </c>
      <c r="F130" s="948">
        <f t="shared" si="13"/>
        <v>0</v>
      </c>
      <c r="G130" s="948">
        <f t="shared" si="13"/>
        <v>0</v>
      </c>
      <c r="I130" s="959"/>
      <c r="J130" s="959"/>
      <c r="K130" s="959"/>
      <c r="L130" s="959"/>
      <c r="M130" s="959"/>
      <c r="N130" s="959"/>
      <c r="O130" s="959"/>
    </row>
    <row r="131" spans="3:15" ht="12.6" customHeight="1" thickBot="1" x14ac:dyDescent="0.3">
      <c r="C131" s="1184" t="s">
        <v>50</v>
      </c>
      <c r="D131" s="954"/>
      <c r="E131" s="953">
        <v>0</v>
      </c>
      <c r="F131" s="953">
        <v>0</v>
      </c>
      <c r="G131" s="953">
        <v>0</v>
      </c>
      <c r="I131" s="959"/>
      <c r="J131" s="959"/>
      <c r="K131" s="959"/>
      <c r="L131" s="959"/>
      <c r="M131" s="959"/>
      <c r="N131" s="959"/>
      <c r="O131" s="959"/>
    </row>
    <row r="132" spans="3:15" ht="12.6" customHeight="1" thickBot="1" x14ac:dyDescent="0.3">
      <c r="C132" s="1239" t="s">
        <v>1</v>
      </c>
      <c r="D132" s="948">
        <f>D46+D114</f>
        <v>0</v>
      </c>
      <c r="E132" s="948">
        <f t="shared" ref="E132:G132" si="14">E46+E114</f>
        <v>0</v>
      </c>
      <c r="F132" s="948">
        <f t="shared" si="14"/>
        <v>0</v>
      </c>
      <c r="G132" s="948">
        <f t="shared" si="14"/>
        <v>0</v>
      </c>
      <c r="I132" s="959"/>
      <c r="J132" s="959"/>
      <c r="K132" s="959"/>
      <c r="L132" s="959"/>
      <c r="M132" s="959"/>
      <c r="N132" s="959"/>
      <c r="O132" s="959"/>
    </row>
    <row r="133" spans="3:15" ht="12.6" customHeight="1" thickBot="1" x14ac:dyDescent="0.3">
      <c r="C133" s="1184" t="s">
        <v>26</v>
      </c>
      <c r="D133" s="954"/>
      <c r="E133" s="953">
        <v>0</v>
      </c>
      <c r="F133" s="953">
        <v>0</v>
      </c>
      <c r="G133" s="953">
        <v>0</v>
      </c>
      <c r="I133" s="959"/>
      <c r="J133" s="959"/>
      <c r="K133" s="959"/>
      <c r="L133" s="959"/>
      <c r="M133" s="959"/>
      <c r="N133" s="959"/>
      <c r="O133" s="959"/>
    </row>
    <row r="134" spans="3:15" ht="12.6" customHeight="1" thickBot="1" x14ac:dyDescent="0.3">
      <c r="C134" s="1239" t="s">
        <v>2</v>
      </c>
      <c r="D134" s="948">
        <f>D49+D115</f>
        <v>0</v>
      </c>
      <c r="E134" s="948">
        <f t="shared" ref="E134:G134" si="15">E49+E115</f>
        <v>0</v>
      </c>
      <c r="F134" s="948">
        <f t="shared" si="15"/>
        <v>0</v>
      </c>
      <c r="G134" s="948">
        <f t="shared" si="15"/>
        <v>0</v>
      </c>
      <c r="I134" s="959"/>
      <c r="J134" s="959"/>
      <c r="K134" s="959"/>
      <c r="L134" s="959"/>
      <c r="M134" s="959"/>
      <c r="N134" s="959"/>
      <c r="O134" s="959"/>
    </row>
    <row r="135" spans="3:15" ht="12.6" customHeight="1" thickBot="1" x14ac:dyDescent="0.3">
      <c r="C135" s="1184" t="s">
        <v>27</v>
      </c>
      <c r="D135" s="954"/>
      <c r="E135" s="953"/>
      <c r="F135" s="953"/>
      <c r="G135" s="953"/>
      <c r="I135" s="959"/>
      <c r="J135" s="959"/>
      <c r="K135" s="959"/>
      <c r="L135" s="959"/>
      <c r="M135" s="959"/>
      <c r="N135" s="959"/>
      <c r="O135" s="959"/>
    </row>
    <row r="136" spans="3:15" ht="12.6" customHeight="1" thickBot="1" x14ac:dyDescent="0.3">
      <c r="C136" s="1241" t="s">
        <v>28</v>
      </c>
      <c r="D136" s="957">
        <f>D52+D116</f>
        <v>0</v>
      </c>
      <c r="E136" s="957">
        <f t="shared" ref="E136:G136" si="16">E52+E116</f>
        <v>750000</v>
      </c>
      <c r="F136" s="957">
        <f t="shared" si="16"/>
        <v>1020000</v>
      </c>
      <c r="G136" s="957">
        <f t="shared" si="16"/>
        <v>1600000</v>
      </c>
    </row>
    <row r="137" spans="3:15" ht="12.6" customHeight="1" thickBot="1" x14ac:dyDescent="0.3">
      <c r="C137" s="1184" t="s">
        <v>29</v>
      </c>
      <c r="D137" s="954"/>
      <c r="E137" s="953" t="e">
        <f>E136/D136-1</f>
        <v>#DIV/0!</v>
      </c>
      <c r="F137" s="953">
        <f>F136/E136-1</f>
        <v>0.3600000000000001</v>
      </c>
      <c r="G137" s="953">
        <f>G136/F136-1</f>
        <v>0.56862745098039214</v>
      </c>
    </row>
    <row r="138" spans="3:15" ht="12.6" customHeight="1" thickBot="1" x14ac:dyDescent="0.3">
      <c r="C138" s="1239" t="s">
        <v>30</v>
      </c>
      <c r="D138" s="949">
        <f>D55+D119</f>
        <v>0</v>
      </c>
      <c r="E138" s="949">
        <f t="shared" ref="E138:G138" si="17">E55+E119</f>
        <v>0</v>
      </c>
      <c r="F138" s="949">
        <f t="shared" si="17"/>
        <v>0</v>
      </c>
      <c r="G138" s="949">
        <f t="shared" si="17"/>
        <v>0</v>
      </c>
    </row>
    <row r="139" spans="3:15" ht="12.6" customHeight="1" thickBot="1" x14ac:dyDescent="0.3">
      <c r="C139" s="1184" t="s">
        <v>31</v>
      </c>
      <c r="D139" s="954"/>
      <c r="E139" s="953">
        <v>0</v>
      </c>
      <c r="F139" s="953">
        <v>0</v>
      </c>
      <c r="G139" s="953">
        <v>0</v>
      </c>
    </row>
    <row r="140" spans="3:15" ht="12.6" customHeight="1" thickBot="1" x14ac:dyDescent="0.3">
      <c r="C140" s="1239" t="s">
        <v>3</v>
      </c>
      <c r="D140" s="949">
        <f>D58+D120</f>
        <v>0</v>
      </c>
      <c r="E140" s="949">
        <f t="shared" ref="E140:G140" si="18">E58+E120</f>
        <v>0</v>
      </c>
      <c r="F140" s="949">
        <f t="shared" si="18"/>
        <v>0</v>
      </c>
      <c r="G140" s="949">
        <f t="shared" si="18"/>
        <v>0</v>
      </c>
    </row>
    <row r="141" spans="3:15" ht="12.6" customHeight="1" thickBot="1" x14ac:dyDescent="0.3">
      <c r="C141" s="1184" t="s">
        <v>32</v>
      </c>
      <c r="D141" s="954"/>
      <c r="E141" s="953">
        <v>0</v>
      </c>
      <c r="F141" s="953">
        <v>0</v>
      </c>
      <c r="G141" s="953">
        <v>0</v>
      </c>
      <c r="H141" s="930">
        <v>0</v>
      </c>
    </row>
    <row r="142" spans="3:15" ht="12.6" customHeight="1" thickBot="1" x14ac:dyDescent="0.3">
      <c r="C142" s="1239" t="s">
        <v>18</v>
      </c>
      <c r="D142" s="948">
        <f>D58+D120</f>
        <v>0</v>
      </c>
      <c r="E142" s="948">
        <v>0</v>
      </c>
      <c r="F142" s="948">
        <v>0</v>
      </c>
      <c r="G142" s="948">
        <v>0</v>
      </c>
    </row>
    <row r="143" spans="3:15" ht="12.6" customHeight="1" thickBot="1" x14ac:dyDescent="0.3">
      <c r="C143" s="1184" t="s">
        <v>33</v>
      </c>
      <c r="D143" s="954"/>
      <c r="E143" s="953"/>
      <c r="F143" s="953"/>
      <c r="G143" s="953"/>
    </row>
    <row r="144" spans="3:15" ht="12.6" customHeight="1" thickBot="1" x14ac:dyDescent="0.3">
      <c r="C144" s="1239" t="s">
        <v>19</v>
      </c>
      <c r="D144" s="948">
        <f>D88</f>
        <v>0</v>
      </c>
      <c r="E144" s="948">
        <f t="shared" ref="E144:G144" si="19">E88</f>
        <v>400000</v>
      </c>
      <c r="F144" s="948">
        <f t="shared" si="19"/>
        <v>520000</v>
      </c>
      <c r="G144" s="948">
        <f t="shared" si="19"/>
        <v>950000</v>
      </c>
    </row>
    <row r="145" spans="1:7" ht="12.6" customHeight="1" thickBot="1" x14ac:dyDescent="0.3">
      <c r="C145" s="1184" t="s">
        <v>34</v>
      </c>
      <c r="D145" s="954"/>
      <c r="E145" s="953" t="e">
        <f>E144/D144-1</f>
        <v>#DIV/0!</v>
      </c>
      <c r="F145" s="953">
        <f>F144/E144-1</f>
        <v>0.30000000000000004</v>
      </c>
      <c r="G145" s="953">
        <f>G144/F144-1</f>
        <v>0.82692307692307687</v>
      </c>
    </row>
    <row r="146" spans="1:7" ht="12.6" customHeight="1" thickBot="1" x14ac:dyDescent="0.3">
      <c r="C146" s="1245" t="s">
        <v>973</v>
      </c>
      <c r="D146" s="951">
        <f>D128+D130+D132+D134+D136+D138+D140+D142+D144</f>
        <v>0</v>
      </c>
      <c r="E146" s="951">
        <f>E128+E130+E132+E134+E136+E138+E140+E142+E144</f>
        <v>1150000</v>
      </c>
      <c r="F146" s="951">
        <f>F128+F130+F132+F134+F136+F138+F140+F142+F144</f>
        <v>1540000</v>
      </c>
      <c r="G146" s="951">
        <f>G128+G130+G132+G134+G136+G138+G140+G142+G144</f>
        <v>2550000</v>
      </c>
    </row>
    <row r="147" spans="1:7" ht="12.6" customHeight="1" thickBot="1" x14ac:dyDescent="0.3">
      <c r="C147" s="1245" t="s">
        <v>70</v>
      </c>
      <c r="D147" s="947">
        <f>'09450 IAL F 2 P Aktual 19-21 '!D203-'Formati 2.1 Arsimi Larte'!D186</f>
        <v>7305203</v>
      </c>
      <c r="E147" s="947">
        <f>'09450 IAL F 2 P Aktual 19-21 '!E203-'Formati 2.1 Arsimi Larte'!E186-E146</f>
        <v>7444958</v>
      </c>
      <c r="F147" s="947">
        <f>'09450 IAL F 2 P Aktual 19-21 '!F203-'Formati 2.1 Arsimi Larte'!F186-F146</f>
        <v>7869958</v>
      </c>
      <c r="G147" s="947">
        <f>'09450 IAL F 2 P Aktual 19-21 '!G203-'Formati 2.1 Arsimi Larte'!G186-G146</f>
        <v>8058998</v>
      </c>
    </row>
    <row r="148" spans="1:7" ht="12.6" customHeight="1" x14ac:dyDescent="0.25">
      <c r="A148" s="2793" t="s">
        <v>122</v>
      </c>
      <c r="B148" s="946" t="s">
        <v>80</v>
      </c>
      <c r="C148" s="1246"/>
      <c r="D148" s="2796" t="s">
        <v>83</v>
      </c>
      <c r="E148" s="945" t="s">
        <v>80</v>
      </c>
      <c r="F148" s="944"/>
      <c r="G148" s="2796" t="s">
        <v>118</v>
      </c>
    </row>
    <row r="149" spans="1:7" ht="12.6" customHeight="1" x14ac:dyDescent="0.25">
      <c r="A149" s="2794"/>
      <c r="B149" s="943" t="s">
        <v>81</v>
      </c>
      <c r="C149" s="1247"/>
      <c r="D149" s="2797"/>
      <c r="E149" s="942" t="s">
        <v>81</v>
      </c>
      <c r="F149" s="941"/>
      <c r="G149" s="2797"/>
    </row>
    <row r="150" spans="1:7" ht="12.6" customHeight="1" thickBot="1" x14ac:dyDescent="0.3">
      <c r="A150" s="2795"/>
      <c r="B150" s="940" t="s">
        <v>82</v>
      </c>
      <c r="C150" s="1248"/>
      <c r="D150" s="2798"/>
      <c r="E150" s="939" t="s">
        <v>82</v>
      </c>
      <c r="F150" s="938"/>
      <c r="G150" s="2798"/>
    </row>
    <row r="151" spans="1:7" ht="12.6" customHeight="1" thickBot="1" x14ac:dyDescent="0.3">
      <c r="A151" s="933"/>
      <c r="B151" s="932"/>
      <c r="C151" s="1249"/>
      <c r="D151" s="936"/>
      <c r="E151" s="935"/>
      <c r="F151" s="934"/>
      <c r="G151" s="934"/>
    </row>
    <row r="152" spans="1:7" ht="12.6" customHeight="1" thickBot="1" x14ac:dyDescent="0.3">
      <c r="A152" s="933"/>
      <c r="B152" s="932"/>
      <c r="C152" s="1250" t="s">
        <v>86</v>
      </c>
      <c r="D152" s="936"/>
      <c r="E152" s="935"/>
      <c r="F152" s="934"/>
      <c r="G152" s="934"/>
    </row>
    <row r="153" spans="1:7" ht="30" customHeight="1" x14ac:dyDescent="0.25">
      <c r="A153" s="933"/>
      <c r="B153" s="932"/>
      <c r="C153" s="2655" t="s">
        <v>123</v>
      </c>
      <c r="D153" s="2656"/>
      <c r="E153" s="2656"/>
      <c r="F153" s="2656"/>
      <c r="G153" s="2657"/>
    </row>
    <row r="154" spans="1:7" ht="30.6" customHeight="1" x14ac:dyDescent="0.25">
      <c r="A154" s="933"/>
      <c r="B154" s="932"/>
      <c r="C154" s="2658" t="s">
        <v>124</v>
      </c>
      <c r="D154" s="2659"/>
      <c r="E154" s="2659"/>
      <c r="F154" s="2659"/>
      <c r="G154" s="2660"/>
    </row>
    <row r="155" spans="1:7" ht="16.899999999999999" customHeight="1" x14ac:dyDescent="0.25">
      <c r="C155" s="2661" t="s">
        <v>125</v>
      </c>
      <c r="D155" s="2662"/>
      <c r="E155" s="2662"/>
      <c r="F155" s="2662"/>
      <c r="G155" s="2663"/>
    </row>
    <row r="156" spans="1:7" ht="14.45" customHeight="1" x14ac:dyDescent="0.25">
      <c r="C156" s="2661" t="s">
        <v>126</v>
      </c>
      <c r="D156" s="2662"/>
      <c r="E156" s="2662"/>
      <c r="F156" s="2662"/>
      <c r="G156" s="2663"/>
    </row>
    <row r="157" spans="1:7" ht="24.6" customHeight="1" x14ac:dyDescent="0.25">
      <c r="C157" s="2661" t="s">
        <v>115</v>
      </c>
      <c r="D157" s="2662"/>
      <c r="E157" s="2662"/>
      <c r="F157" s="2662"/>
      <c r="G157" s="2663"/>
    </row>
    <row r="158" spans="1:7" ht="25.9" customHeight="1" x14ac:dyDescent="0.25">
      <c r="C158" s="2664" t="s">
        <v>779</v>
      </c>
      <c r="D158" s="2662"/>
      <c r="E158" s="2662"/>
      <c r="F158" s="2662"/>
      <c r="G158" s="2663"/>
    </row>
    <row r="159" spans="1:7" ht="39.6" customHeight="1" thickBot="1" x14ac:dyDescent="0.3">
      <c r="C159" s="2652" t="s">
        <v>79</v>
      </c>
      <c r="D159" s="2653"/>
      <c r="E159" s="2653"/>
      <c r="F159" s="2653"/>
      <c r="G159" s="2654"/>
    </row>
  </sheetData>
  <mergeCells count="42">
    <mergeCell ref="C159:G159"/>
    <mergeCell ref="C153:G153"/>
    <mergeCell ref="C154:G154"/>
    <mergeCell ref="C155:G155"/>
    <mergeCell ref="C156:G156"/>
    <mergeCell ref="C157:G157"/>
    <mergeCell ref="C158:G158"/>
    <mergeCell ref="A148:A150"/>
    <mergeCell ref="D148:D150"/>
    <mergeCell ref="G148:G150"/>
    <mergeCell ref="D90:G90"/>
    <mergeCell ref="C91:G91"/>
    <mergeCell ref="C96:G96"/>
    <mergeCell ref="C97:G97"/>
    <mergeCell ref="D98:G98"/>
    <mergeCell ref="D99:G99"/>
    <mergeCell ref="D100:G100"/>
    <mergeCell ref="C101:C102"/>
    <mergeCell ref="C109:G109"/>
    <mergeCell ref="C110:C111"/>
    <mergeCell ref="D123:G123"/>
    <mergeCell ref="C84:C85"/>
    <mergeCell ref="D63:G63"/>
    <mergeCell ref="C64:G64"/>
    <mergeCell ref="C70:G70"/>
    <mergeCell ref="C71:G71"/>
    <mergeCell ref="D72:G72"/>
    <mergeCell ref="D73:G73"/>
    <mergeCell ref="D74:G74"/>
    <mergeCell ref="C75:C76"/>
    <mergeCell ref="C83:G83"/>
    <mergeCell ref="D28:G28"/>
    <mergeCell ref="C29:C30"/>
    <mergeCell ref="D9:G9"/>
    <mergeCell ref="C10:G10"/>
    <mergeCell ref="D27:G27"/>
    <mergeCell ref="C8:G8"/>
    <mergeCell ref="C2:G2"/>
    <mergeCell ref="C3:G3"/>
    <mergeCell ref="D5:G5"/>
    <mergeCell ref="D6:G6"/>
    <mergeCell ref="D7:G7"/>
  </mergeCells>
  <printOptions horizontalCentered="1" verticalCentered="1"/>
  <pageMargins left="7.874015748031496E-2" right="7.874015748031496E-2" top="0.43307086614173229" bottom="0.43307086614173229" header="0.31496062992125984" footer="0.31496062992125984"/>
  <pageSetup scale="81"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R72"/>
  <sheetViews>
    <sheetView showGridLines="0" topLeftCell="A36" zoomScale="140" zoomScaleNormal="140" workbookViewId="0">
      <selection activeCell="C36" sqref="C36:L41"/>
    </sheetView>
  </sheetViews>
  <sheetFormatPr defaultColWidth="11.42578125" defaultRowHeight="11.25" customHeight="1" x14ac:dyDescent="0.2"/>
  <cols>
    <col min="1" max="1" width="4.140625" style="591" customWidth="1"/>
    <col min="2" max="2" width="5.28515625" style="591" customWidth="1"/>
    <col min="3" max="3" width="14.28515625" style="570" customWidth="1"/>
    <col min="4" max="6" width="11.42578125" style="570" customWidth="1"/>
    <col min="7" max="7" width="10.7109375" style="570" customWidth="1"/>
    <col min="8" max="8" width="11.140625" style="570" customWidth="1"/>
    <col min="9" max="9" width="10.42578125" style="570" customWidth="1"/>
    <col min="10" max="10" width="7.42578125" style="570" customWidth="1"/>
    <col min="11" max="11" width="9" style="570" customWidth="1"/>
    <col min="12" max="12" width="10.28515625" style="570" customWidth="1"/>
    <col min="13" max="16384" width="11.42578125" style="591"/>
  </cols>
  <sheetData>
    <row r="1" spans="1:13" ht="11.25" customHeight="1" x14ac:dyDescent="0.2">
      <c r="A1" s="616"/>
      <c r="C1" s="585" t="s">
        <v>584</v>
      </c>
      <c r="H1" s="585"/>
    </row>
    <row r="4" spans="1:13" ht="11.25" customHeight="1" x14ac:dyDescent="0.2">
      <c r="C4" s="579" t="s">
        <v>583</v>
      </c>
      <c r="D4" s="1028">
        <v>2019</v>
      </c>
    </row>
    <row r="6" spans="1:13" ht="12.6" customHeight="1" x14ac:dyDescent="0.2">
      <c r="A6" s="609" t="s">
        <v>87</v>
      </c>
      <c r="B6" s="608" t="s">
        <v>180</v>
      </c>
      <c r="C6" s="579" t="s">
        <v>88</v>
      </c>
      <c r="D6" s="1027" t="s">
        <v>827</v>
      </c>
      <c r="E6" s="1026"/>
      <c r="F6" s="1026"/>
      <c r="G6" s="1026"/>
      <c r="H6" s="1026"/>
      <c r="I6" s="1026"/>
      <c r="J6" s="1026"/>
      <c r="K6" s="1026"/>
      <c r="L6" s="1025"/>
    </row>
    <row r="7" spans="1:13" ht="11.25" customHeight="1" x14ac:dyDescent="0.2">
      <c r="B7" s="610"/>
      <c r="D7" s="1024"/>
      <c r="E7" s="1024"/>
      <c r="F7" s="1024"/>
      <c r="G7" s="1024"/>
      <c r="H7" s="1024"/>
      <c r="I7" s="1024"/>
      <c r="J7" s="1024"/>
      <c r="K7" s="1024"/>
      <c r="L7" s="1024"/>
    </row>
    <row r="8" spans="1:13" ht="11.25" customHeight="1" x14ac:dyDescent="0.2">
      <c r="A8" s="609" t="s">
        <v>4</v>
      </c>
      <c r="B8" s="608" t="s">
        <v>457</v>
      </c>
      <c r="C8" s="579" t="s">
        <v>96</v>
      </c>
      <c r="D8" s="579"/>
      <c r="E8" s="2799" t="s">
        <v>826</v>
      </c>
      <c r="F8" s="2800"/>
      <c r="G8" s="2800"/>
      <c r="H8" s="2800"/>
      <c r="I8" s="2800"/>
      <c r="J8" s="2800"/>
      <c r="K8" s="2800"/>
      <c r="L8" s="2801"/>
    </row>
    <row r="10" spans="1:13" ht="11.25" customHeight="1" x14ac:dyDescent="0.2">
      <c r="C10" s="579" t="s">
        <v>493</v>
      </c>
      <c r="D10" s="579"/>
    </row>
    <row r="11" spans="1:13" ht="11.25" customHeight="1" x14ac:dyDescent="0.2">
      <c r="C11" s="2802" t="s">
        <v>552</v>
      </c>
      <c r="D11" s="2803"/>
      <c r="E11" s="2803"/>
      <c r="F11" s="2803"/>
      <c r="G11" s="2803"/>
      <c r="H11" s="2803"/>
      <c r="I11" s="2803"/>
      <c r="J11" s="2803"/>
      <c r="K11" s="2803"/>
      <c r="L11" s="2804"/>
    </row>
    <row r="12" spans="1:13" ht="11.25" customHeight="1" x14ac:dyDescent="0.2">
      <c r="C12" s="2805"/>
      <c r="D12" s="2806"/>
      <c r="E12" s="2806"/>
      <c r="F12" s="2806"/>
      <c r="G12" s="2806"/>
      <c r="H12" s="2806"/>
      <c r="I12" s="2806"/>
      <c r="J12" s="2806"/>
      <c r="K12" s="2806"/>
      <c r="L12" s="2807"/>
    </row>
    <row r="13" spans="1:13" ht="11.25" customHeight="1" x14ac:dyDescent="0.2">
      <c r="C13" s="2805"/>
      <c r="D13" s="2806"/>
      <c r="E13" s="2806"/>
      <c r="F13" s="2806"/>
      <c r="G13" s="2806"/>
      <c r="H13" s="2806"/>
      <c r="I13" s="2806"/>
      <c r="J13" s="2806"/>
      <c r="K13" s="2806"/>
      <c r="L13" s="2807"/>
    </row>
    <row r="14" spans="1:13" ht="11.25" customHeight="1" x14ac:dyDescent="0.2">
      <c r="C14" s="2805"/>
      <c r="D14" s="2806"/>
      <c r="E14" s="2806"/>
      <c r="F14" s="2806"/>
      <c r="G14" s="2806"/>
      <c r="H14" s="2806"/>
      <c r="I14" s="2806"/>
      <c r="J14" s="2806"/>
      <c r="K14" s="2806"/>
      <c r="L14" s="2807"/>
    </row>
    <row r="15" spans="1:13" ht="11.25" customHeight="1" x14ac:dyDescent="0.2">
      <c r="C15" s="2805"/>
      <c r="D15" s="2806"/>
      <c r="E15" s="2806"/>
      <c r="F15" s="2806"/>
      <c r="G15" s="2806"/>
      <c r="H15" s="2806"/>
      <c r="I15" s="2806"/>
      <c r="J15" s="2806"/>
      <c r="K15" s="2806"/>
      <c r="L15" s="2807"/>
    </row>
    <row r="16" spans="1:13" ht="1.5" customHeight="1" x14ac:dyDescent="0.2">
      <c r="C16" s="2808"/>
      <c r="D16" s="2809"/>
      <c r="E16" s="2809"/>
      <c r="F16" s="2809"/>
      <c r="G16" s="2809"/>
      <c r="H16" s="2809"/>
      <c r="I16" s="2809"/>
      <c r="J16" s="2809"/>
      <c r="K16" s="2809"/>
      <c r="L16" s="2810"/>
    </row>
    <row r="18" spans="3:13" ht="11.25" customHeight="1" x14ac:dyDescent="0.2">
      <c r="C18" s="579" t="s">
        <v>700</v>
      </c>
      <c r="D18" s="579"/>
      <c r="E18" s="579"/>
    </row>
    <row r="19" spans="3:13" ht="11.25" customHeight="1" x14ac:dyDescent="0.2">
      <c r="C19" s="2088" t="s">
        <v>825</v>
      </c>
      <c r="D19" s="2089"/>
      <c r="E19" s="2089"/>
      <c r="F19" s="2089"/>
      <c r="G19" s="2089"/>
      <c r="H19" s="2089"/>
      <c r="I19" s="2089"/>
      <c r="J19" s="2089"/>
      <c r="K19" s="2089"/>
      <c r="L19" s="2090"/>
    </row>
    <row r="20" spans="3:13" ht="11.25" customHeight="1" x14ac:dyDescent="0.2">
      <c r="C20" s="2091"/>
      <c r="D20" s="2092"/>
      <c r="E20" s="2092"/>
      <c r="F20" s="2092"/>
      <c r="G20" s="2092"/>
      <c r="H20" s="2092"/>
      <c r="I20" s="2092"/>
      <c r="J20" s="2092"/>
      <c r="K20" s="2092"/>
      <c r="L20" s="2093"/>
    </row>
    <row r="21" spans="3:13" ht="11.25" customHeight="1" x14ac:dyDescent="0.2">
      <c r="C21" s="2091"/>
      <c r="D21" s="2092"/>
      <c r="E21" s="2092"/>
      <c r="F21" s="2092"/>
      <c r="G21" s="2092"/>
      <c r="H21" s="2092"/>
      <c r="I21" s="2092"/>
      <c r="J21" s="2092"/>
      <c r="K21" s="2092"/>
      <c r="L21" s="2093"/>
    </row>
    <row r="22" spans="3:13" ht="11.25" customHeight="1" x14ac:dyDescent="0.2">
      <c r="C22" s="2091"/>
      <c r="D22" s="2092"/>
      <c r="E22" s="2092"/>
      <c r="F22" s="2092"/>
      <c r="G22" s="2092"/>
      <c r="H22" s="2092"/>
      <c r="I22" s="2092"/>
      <c r="J22" s="2092"/>
      <c r="K22" s="2092"/>
      <c r="L22" s="2093"/>
    </row>
    <row r="23" spans="3:13" ht="11.25" customHeight="1" x14ac:dyDescent="0.2">
      <c r="C23" s="2091"/>
      <c r="D23" s="2092"/>
      <c r="E23" s="2092"/>
      <c r="F23" s="2092"/>
      <c r="G23" s="2092"/>
      <c r="H23" s="2092"/>
      <c r="I23" s="2092"/>
      <c r="J23" s="2092"/>
      <c r="K23" s="2092"/>
      <c r="L23" s="2093"/>
    </row>
    <row r="24" spans="3:13" ht="52.7" customHeight="1" x14ac:dyDescent="0.2">
      <c r="C24" s="2094"/>
      <c r="D24" s="2095"/>
      <c r="E24" s="2095"/>
      <c r="F24" s="2095"/>
      <c r="G24" s="2095"/>
      <c r="H24" s="2095"/>
      <c r="I24" s="2095"/>
      <c r="J24" s="2095"/>
      <c r="K24" s="2095"/>
      <c r="L24" s="2096"/>
    </row>
    <row r="25" spans="3:13" ht="11.25" customHeight="1" x14ac:dyDescent="0.2">
      <c r="C25" s="580"/>
      <c r="D25" s="580"/>
      <c r="E25" s="580"/>
      <c r="F25" s="580"/>
      <c r="G25" s="580"/>
      <c r="H25" s="580"/>
      <c r="I25" s="580"/>
      <c r="J25" s="580"/>
      <c r="K25" s="580"/>
      <c r="L25" s="580"/>
    </row>
    <row r="26" spans="3:13" ht="15" customHeight="1" x14ac:dyDescent="0.2">
      <c r="C26" s="579" t="s">
        <v>137</v>
      </c>
      <c r="D26" s="579"/>
    </row>
    <row r="27" spans="3:13" ht="11.25" customHeight="1" x14ac:dyDescent="0.2">
      <c r="C27" s="2088" t="s">
        <v>824</v>
      </c>
      <c r="D27" s="2089"/>
      <c r="E27" s="2089"/>
      <c r="F27" s="2089"/>
      <c r="G27" s="2089"/>
      <c r="H27" s="2089"/>
      <c r="I27" s="2089"/>
      <c r="J27" s="2089"/>
      <c r="K27" s="2089"/>
      <c r="L27" s="2090"/>
    </row>
    <row r="28" spans="3:13" ht="11.25" customHeight="1" x14ac:dyDescent="0.2">
      <c r="C28" s="2091"/>
      <c r="D28" s="2092"/>
      <c r="E28" s="2092"/>
      <c r="F28" s="2092"/>
      <c r="G28" s="2092"/>
      <c r="H28" s="2092"/>
      <c r="I28" s="2092"/>
      <c r="J28" s="2092"/>
      <c r="K28" s="2092"/>
      <c r="L28" s="2093"/>
    </row>
    <row r="29" spans="3:13" ht="11.25" customHeight="1" x14ac:dyDescent="0.2">
      <c r="C29" s="2091"/>
      <c r="D29" s="2092"/>
      <c r="E29" s="2092"/>
      <c r="F29" s="2092"/>
      <c r="G29" s="2092"/>
      <c r="H29" s="2092"/>
      <c r="I29" s="2092"/>
      <c r="J29" s="2092"/>
      <c r="K29" s="2092"/>
      <c r="L29" s="2093"/>
    </row>
    <row r="30" spans="3:13" ht="11.25" customHeight="1" x14ac:dyDescent="0.2">
      <c r="C30" s="2091"/>
      <c r="D30" s="2092"/>
      <c r="E30" s="2092"/>
      <c r="F30" s="2092"/>
      <c r="G30" s="2092"/>
      <c r="H30" s="2092"/>
      <c r="I30" s="2092"/>
      <c r="J30" s="2092"/>
      <c r="K30" s="2092"/>
      <c r="L30" s="2093"/>
    </row>
    <row r="31" spans="3:13" ht="11.25" customHeight="1" x14ac:dyDescent="0.2">
      <c r="C31" s="2091"/>
      <c r="D31" s="2092"/>
      <c r="E31" s="2092"/>
      <c r="F31" s="2092"/>
      <c r="G31" s="2092"/>
      <c r="H31" s="2092"/>
      <c r="I31" s="2092"/>
      <c r="J31" s="2092"/>
      <c r="K31" s="2092"/>
      <c r="L31" s="2093"/>
    </row>
    <row r="32" spans="3:13" ht="45.6" customHeight="1" x14ac:dyDescent="0.2">
      <c r="C32" s="2094"/>
      <c r="D32" s="2095"/>
      <c r="E32" s="2095"/>
      <c r="F32" s="2095"/>
      <c r="G32" s="2095"/>
      <c r="H32" s="2095"/>
      <c r="I32" s="2095"/>
      <c r="J32" s="2095"/>
      <c r="K32" s="2095"/>
      <c r="L32" s="2096"/>
    </row>
    <row r="34" spans="3:18" ht="11.25" customHeight="1" x14ac:dyDescent="0.2">
      <c r="C34" s="579" t="s">
        <v>581</v>
      </c>
      <c r="D34" s="579"/>
      <c r="E34" s="579"/>
    </row>
    <row r="35" spans="3:18" ht="15.6" customHeight="1" x14ac:dyDescent="0.2">
      <c r="C35" s="579" t="s">
        <v>580</v>
      </c>
    </row>
    <row r="36" spans="3:18" ht="11.25" customHeight="1" x14ac:dyDescent="0.2">
      <c r="C36" s="2088" t="s">
        <v>823</v>
      </c>
      <c r="D36" s="2089"/>
      <c r="E36" s="2089"/>
      <c r="F36" s="2089"/>
      <c r="G36" s="2089"/>
      <c r="H36" s="2089"/>
      <c r="I36" s="2089"/>
      <c r="J36" s="2089"/>
      <c r="K36" s="2089"/>
      <c r="L36" s="2090"/>
    </row>
    <row r="37" spans="3:18" ht="11.25" customHeight="1" x14ac:dyDescent="0.2">
      <c r="C37" s="2091"/>
      <c r="D37" s="2092"/>
      <c r="E37" s="2092"/>
      <c r="F37" s="2092"/>
      <c r="G37" s="2092"/>
      <c r="H37" s="2092"/>
      <c r="I37" s="2092"/>
      <c r="J37" s="2092"/>
      <c r="K37" s="2092"/>
      <c r="L37" s="2093"/>
    </row>
    <row r="38" spans="3:18" ht="11.25" customHeight="1" x14ac:dyDescent="0.2">
      <c r="C38" s="2091"/>
      <c r="D38" s="2092"/>
      <c r="E38" s="2092"/>
      <c r="F38" s="2092"/>
      <c r="G38" s="2092"/>
      <c r="H38" s="2092"/>
      <c r="I38" s="2092"/>
      <c r="J38" s="2092"/>
      <c r="K38" s="2092"/>
      <c r="L38" s="2093"/>
    </row>
    <row r="39" spans="3:18" ht="11.25" customHeight="1" x14ac:dyDescent="0.2">
      <c r="C39" s="2091"/>
      <c r="D39" s="2092"/>
      <c r="E39" s="2092"/>
      <c r="F39" s="2092"/>
      <c r="G39" s="2092"/>
      <c r="H39" s="2092"/>
      <c r="I39" s="2092"/>
      <c r="J39" s="2092"/>
      <c r="K39" s="2092"/>
      <c r="L39" s="2093"/>
    </row>
    <row r="40" spans="3:18" ht="11.25" customHeight="1" x14ac:dyDescent="0.2">
      <c r="C40" s="2091"/>
      <c r="D40" s="2092"/>
      <c r="E40" s="2092"/>
      <c r="F40" s="2092"/>
      <c r="G40" s="2092"/>
      <c r="H40" s="2092"/>
      <c r="I40" s="2092"/>
      <c r="J40" s="2092"/>
      <c r="K40" s="2092"/>
      <c r="L40" s="2093"/>
    </row>
    <row r="41" spans="3:18" ht="132" customHeight="1" x14ac:dyDescent="0.2">
      <c r="C41" s="2094"/>
      <c r="D41" s="2095"/>
      <c r="E41" s="2095"/>
      <c r="F41" s="2095"/>
      <c r="G41" s="2095"/>
      <c r="H41" s="2095"/>
      <c r="I41" s="2095"/>
      <c r="J41" s="2095"/>
      <c r="K41" s="2095"/>
      <c r="L41" s="2096"/>
    </row>
    <row r="42" spans="3:18" ht="10.7" customHeight="1" x14ac:dyDescent="0.2">
      <c r="E42" s="1023"/>
      <c r="F42" s="1023"/>
      <c r="G42" s="1023"/>
      <c r="H42" s="1023"/>
      <c r="I42" s="1023"/>
      <c r="J42" s="1023"/>
      <c r="K42" s="1023"/>
      <c r="L42" s="1023"/>
    </row>
    <row r="43" spans="3:18" ht="15.6" customHeight="1" x14ac:dyDescent="0.2">
      <c r="C43" s="2811" t="s">
        <v>578</v>
      </c>
      <c r="D43" s="2812"/>
    </row>
    <row r="44" spans="3:18" ht="11.25" customHeight="1" x14ac:dyDescent="0.2">
      <c r="C44" s="2088" t="s">
        <v>822</v>
      </c>
      <c r="D44" s="2089"/>
      <c r="E44" s="2089"/>
      <c r="F44" s="2089"/>
      <c r="G44" s="2089"/>
      <c r="H44" s="2089"/>
      <c r="I44" s="2089"/>
      <c r="J44" s="2089"/>
      <c r="K44" s="2089"/>
      <c r="L44" s="2090"/>
    </row>
    <row r="45" spans="3:18" ht="11.25" customHeight="1" x14ac:dyDescent="0.2">
      <c r="C45" s="2091"/>
      <c r="D45" s="2092"/>
      <c r="E45" s="2092"/>
      <c r="F45" s="2092"/>
      <c r="G45" s="2092"/>
      <c r="H45" s="2092"/>
      <c r="I45" s="2092"/>
      <c r="J45" s="2092"/>
      <c r="K45" s="2092"/>
      <c r="L45" s="2093"/>
    </row>
    <row r="46" spans="3:18" ht="11.25" customHeight="1" x14ac:dyDescent="0.2">
      <c r="C46" s="2091"/>
      <c r="D46" s="2092"/>
      <c r="E46" s="2092"/>
      <c r="F46" s="2092"/>
      <c r="G46" s="2092"/>
      <c r="H46" s="2092"/>
      <c r="I46" s="2092"/>
      <c r="J46" s="2092"/>
      <c r="K46" s="2092"/>
      <c r="L46" s="2093"/>
    </row>
    <row r="47" spans="3:18" ht="11.25" customHeight="1" x14ac:dyDescent="0.2">
      <c r="C47" s="2091"/>
      <c r="D47" s="2092"/>
      <c r="E47" s="2092"/>
      <c r="F47" s="2092"/>
      <c r="G47" s="2092"/>
      <c r="H47" s="2092"/>
      <c r="I47" s="2092"/>
      <c r="J47" s="2092"/>
      <c r="K47" s="2092"/>
      <c r="L47" s="2093"/>
    </row>
    <row r="48" spans="3:18" ht="11.25" customHeight="1" x14ac:dyDescent="0.2">
      <c r="C48" s="2091"/>
      <c r="D48" s="2092"/>
      <c r="E48" s="2092"/>
      <c r="F48" s="2092"/>
      <c r="G48" s="2092"/>
      <c r="H48" s="2092"/>
      <c r="I48" s="2092"/>
      <c r="J48" s="2092"/>
      <c r="K48" s="2092"/>
      <c r="L48" s="2093"/>
    </row>
    <row r="49" spans="3:12" ht="135.94999999999999" customHeight="1" x14ac:dyDescent="0.2">
      <c r="C49" s="2094"/>
      <c r="D49" s="2095"/>
      <c r="E49" s="2095"/>
      <c r="F49" s="2095"/>
      <c r="G49" s="2095"/>
      <c r="H49" s="2095"/>
      <c r="I49" s="2095"/>
      <c r="J49" s="2095"/>
      <c r="K49" s="2095"/>
      <c r="L49" s="2096"/>
    </row>
    <row r="50" spans="3:12" ht="21" customHeight="1" x14ac:dyDescent="0.2">
      <c r="C50" s="579" t="s">
        <v>576</v>
      </c>
    </row>
    <row r="51" spans="3:12" ht="11.25" customHeight="1" x14ac:dyDescent="0.2">
      <c r="C51" s="2088" t="s">
        <v>821</v>
      </c>
      <c r="D51" s="2089"/>
      <c r="E51" s="2089"/>
      <c r="F51" s="2089"/>
      <c r="G51" s="2089"/>
      <c r="H51" s="2089"/>
      <c r="I51" s="2089"/>
      <c r="J51" s="2089"/>
      <c r="K51" s="2089"/>
      <c r="L51" s="2090"/>
    </row>
    <row r="52" spans="3:12" ht="11.25" customHeight="1" x14ac:dyDescent="0.2">
      <c r="C52" s="2091"/>
      <c r="D52" s="2092"/>
      <c r="E52" s="2092"/>
      <c r="F52" s="2092"/>
      <c r="G52" s="2092"/>
      <c r="H52" s="2092"/>
      <c r="I52" s="2092"/>
      <c r="J52" s="2092"/>
      <c r="K52" s="2092"/>
      <c r="L52" s="2093"/>
    </row>
    <row r="53" spans="3:12" ht="11.25" customHeight="1" x14ac:dyDescent="0.2">
      <c r="C53" s="2091"/>
      <c r="D53" s="2092"/>
      <c r="E53" s="2092"/>
      <c r="F53" s="2092"/>
      <c r="G53" s="2092"/>
      <c r="H53" s="2092"/>
      <c r="I53" s="2092"/>
      <c r="J53" s="2092"/>
      <c r="K53" s="2092"/>
      <c r="L53" s="2093"/>
    </row>
    <row r="54" spans="3:12" ht="11.25" customHeight="1" x14ac:dyDescent="0.2">
      <c r="C54" s="2091"/>
      <c r="D54" s="2092"/>
      <c r="E54" s="2092"/>
      <c r="F54" s="2092"/>
      <c r="G54" s="2092"/>
      <c r="H54" s="2092"/>
      <c r="I54" s="2092"/>
      <c r="J54" s="2092"/>
      <c r="K54" s="2092"/>
      <c r="L54" s="2093"/>
    </row>
    <row r="55" spans="3:12" ht="11.25" customHeight="1" x14ac:dyDescent="0.2">
      <c r="C55" s="2091"/>
      <c r="D55" s="2092"/>
      <c r="E55" s="2092"/>
      <c r="F55" s="2092"/>
      <c r="G55" s="2092"/>
      <c r="H55" s="2092"/>
      <c r="I55" s="2092"/>
      <c r="J55" s="2092"/>
      <c r="K55" s="2092"/>
      <c r="L55" s="2093"/>
    </row>
    <row r="56" spans="3:12" ht="148.69999999999999" customHeight="1" x14ac:dyDescent="0.2">
      <c r="C56" s="2094"/>
      <c r="D56" s="2095"/>
      <c r="E56" s="2095"/>
      <c r="F56" s="2095"/>
      <c r="G56" s="2095"/>
      <c r="H56" s="2095"/>
      <c r="I56" s="2095"/>
      <c r="J56" s="2095"/>
      <c r="K56" s="2095"/>
      <c r="L56" s="2096"/>
    </row>
    <row r="57" spans="3:12" ht="26.25" customHeight="1" x14ac:dyDescent="0.2">
      <c r="C57" s="579" t="s">
        <v>574</v>
      </c>
    </row>
    <row r="58" spans="3:12" ht="11.25" customHeight="1" x14ac:dyDescent="0.2">
      <c r="C58" s="2088" t="s">
        <v>820</v>
      </c>
      <c r="D58" s="2089"/>
      <c r="E58" s="2089"/>
      <c r="F58" s="2089"/>
      <c r="G58" s="2089"/>
      <c r="H58" s="2089"/>
      <c r="I58" s="2089"/>
      <c r="J58" s="2089"/>
      <c r="K58" s="2089"/>
      <c r="L58" s="2090"/>
    </row>
    <row r="59" spans="3:12" ht="11.25" customHeight="1" x14ac:dyDescent="0.2">
      <c r="C59" s="2091"/>
      <c r="D59" s="2092"/>
      <c r="E59" s="2092"/>
      <c r="F59" s="2092"/>
      <c r="G59" s="2092"/>
      <c r="H59" s="2092"/>
      <c r="I59" s="2092"/>
      <c r="J59" s="2092"/>
      <c r="K59" s="2092"/>
      <c r="L59" s="2093"/>
    </row>
    <row r="60" spans="3:12" ht="11.25" customHeight="1" x14ac:dyDescent="0.2">
      <c r="C60" s="2091"/>
      <c r="D60" s="2092"/>
      <c r="E60" s="2092"/>
      <c r="F60" s="2092"/>
      <c r="G60" s="2092"/>
      <c r="H60" s="2092"/>
      <c r="I60" s="2092"/>
      <c r="J60" s="2092"/>
      <c r="K60" s="2092"/>
      <c r="L60" s="2093"/>
    </row>
    <row r="61" spans="3:12" ht="11.25" customHeight="1" x14ac:dyDescent="0.2">
      <c r="C61" s="2091"/>
      <c r="D61" s="2092"/>
      <c r="E61" s="2092"/>
      <c r="F61" s="2092"/>
      <c r="G61" s="2092"/>
      <c r="H61" s="2092"/>
      <c r="I61" s="2092"/>
      <c r="J61" s="2092"/>
      <c r="K61" s="2092"/>
      <c r="L61" s="2093"/>
    </row>
    <row r="62" spans="3:12" ht="11.25" customHeight="1" x14ac:dyDescent="0.2">
      <c r="C62" s="2091"/>
      <c r="D62" s="2092"/>
      <c r="E62" s="2092"/>
      <c r="F62" s="2092"/>
      <c r="G62" s="2092"/>
      <c r="H62" s="2092"/>
      <c r="I62" s="2092"/>
      <c r="J62" s="2092"/>
      <c r="K62" s="2092"/>
      <c r="L62" s="2093"/>
    </row>
    <row r="63" spans="3:12" ht="131.25" customHeight="1" x14ac:dyDescent="0.2">
      <c r="C63" s="2094"/>
      <c r="D63" s="2095"/>
      <c r="E63" s="2095"/>
      <c r="F63" s="2095"/>
      <c r="G63" s="2095"/>
      <c r="H63" s="2095"/>
      <c r="I63" s="2095"/>
      <c r="J63" s="2095"/>
      <c r="K63" s="2095"/>
      <c r="L63" s="2096"/>
    </row>
    <row r="64" spans="3:12" ht="21.6" customHeight="1" x14ac:dyDescent="0.2">
      <c r="C64" s="579" t="s">
        <v>572</v>
      </c>
      <c r="D64" s="579"/>
      <c r="E64" s="579"/>
    </row>
    <row r="65" spans="1:12" ht="11.25" customHeight="1" x14ac:dyDescent="0.2">
      <c r="C65" s="2088" t="s">
        <v>819</v>
      </c>
      <c r="D65" s="2089"/>
      <c r="E65" s="2089"/>
      <c r="F65" s="2089"/>
      <c r="G65" s="2089"/>
      <c r="H65" s="2089"/>
      <c r="I65" s="2089"/>
      <c r="J65" s="2089"/>
      <c r="K65" s="2089"/>
      <c r="L65" s="2090"/>
    </row>
    <row r="66" spans="1:12" ht="11.25" customHeight="1" x14ac:dyDescent="0.2">
      <c r="C66" s="2091"/>
      <c r="D66" s="2092"/>
      <c r="E66" s="2092"/>
      <c r="F66" s="2092"/>
      <c r="G66" s="2092"/>
      <c r="H66" s="2092"/>
      <c r="I66" s="2092"/>
      <c r="J66" s="2092"/>
      <c r="K66" s="2092"/>
      <c r="L66" s="2093"/>
    </row>
    <row r="67" spans="1:12" ht="106.9" customHeight="1" x14ac:dyDescent="0.2">
      <c r="C67" s="2094"/>
      <c r="D67" s="2095"/>
      <c r="E67" s="2095"/>
      <c r="F67" s="2095"/>
      <c r="G67" s="2095"/>
      <c r="H67" s="2095"/>
      <c r="I67" s="2095"/>
      <c r="J67" s="2095"/>
      <c r="K67" s="2095"/>
      <c r="L67" s="2096"/>
    </row>
    <row r="70" spans="1:12" ht="15.6" customHeight="1" x14ac:dyDescent="0.2">
      <c r="A70" s="2100" t="s">
        <v>487</v>
      </c>
      <c r="B70" s="601" t="s">
        <v>80</v>
      </c>
      <c r="C70" s="577"/>
      <c r="D70" s="575"/>
      <c r="E70" s="2100" t="s">
        <v>488</v>
      </c>
      <c r="F70" s="572" t="s">
        <v>80</v>
      </c>
      <c r="G70" s="577"/>
      <c r="H70" s="575"/>
      <c r="I70" s="578"/>
      <c r="J70" s="572" t="s">
        <v>80</v>
      </c>
      <c r="K70" s="577"/>
      <c r="L70" s="575"/>
    </row>
    <row r="71" spans="1:12" ht="15.6" customHeight="1" x14ac:dyDescent="0.2">
      <c r="A71" s="2101"/>
      <c r="B71" s="601" t="s">
        <v>490</v>
      </c>
      <c r="C71" s="577"/>
      <c r="D71" s="575"/>
      <c r="E71" s="2101"/>
      <c r="F71" s="572" t="s">
        <v>490</v>
      </c>
      <c r="G71" s="577"/>
      <c r="H71" s="575"/>
      <c r="I71" s="576" t="s">
        <v>489</v>
      </c>
      <c r="J71" s="572" t="s">
        <v>490</v>
      </c>
      <c r="K71" s="577"/>
      <c r="L71" s="575"/>
    </row>
    <row r="72" spans="1:12" ht="15.6" customHeight="1" x14ac:dyDescent="0.2">
      <c r="A72" s="2102"/>
      <c r="B72" s="601" t="s">
        <v>82</v>
      </c>
      <c r="C72" s="574"/>
      <c r="D72" s="571"/>
      <c r="E72" s="2102"/>
      <c r="F72" s="572" t="s">
        <v>82</v>
      </c>
      <c r="G72" s="574"/>
      <c r="H72" s="571"/>
      <c r="I72" s="573"/>
      <c r="J72" s="572" t="s">
        <v>82</v>
      </c>
      <c r="K72" s="574"/>
      <c r="L72" s="571"/>
    </row>
  </sheetData>
  <mergeCells count="12">
    <mergeCell ref="A70:A72"/>
    <mergeCell ref="E70:E72"/>
    <mergeCell ref="C43:D43"/>
    <mergeCell ref="C44:L49"/>
    <mergeCell ref="C51:L56"/>
    <mergeCell ref="C58:L63"/>
    <mergeCell ref="C65:L67"/>
    <mergeCell ref="E8:L8"/>
    <mergeCell ref="C11:L16"/>
    <mergeCell ref="C19:L24"/>
    <mergeCell ref="C27:L32"/>
    <mergeCell ref="C36:L41"/>
  </mergeCells>
  <pageMargins left="0.39370078740157483" right="0.39370078740157483" top="0.59055118110236227" bottom="0.59055118110236227" header="0.51181102362204722" footer="0.31496062992125984"/>
  <pageSetup paperSize="9" scale="74" orientation="portrait" horizontalDpi="4294967295" verticalDpi="4294967295"/>
  <rowBreaks count="1" manualBreakCount="1">
    <brk id="49" max="16383" man="1"/>
  </row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63"/>
  <sheetViews>
    <sheetView showGridLines="0" topLeftCell="A10" zoomScaleNormal="100" workbookViewId="0">
      <selection activeCell="C17" sqref="C17:K22"/>
    </sheetView>
  </sheetViews>
  <sheetFormatPr defaultColWidth="11.42578125" defaultRowHeight="13.9" customHeight="1" x14ac:dyDescent="0.25"/>
  <cols>
    <col min="1" max="1" width="8" style="569" customWidth="1"/>
    <col min="2" max="2" width="2.7109375" style="569" customWidth="1"/>
    <col min="3" max="3" width="29" style="570" customWidth="1"/>
    <col min="4" max="4" width="15.7109375" style="570" customWidth="1"/>
    <col min="5" max="5" width="10.42578125" style="570" customWidth="1"/>
    <col min="6" max="10" width="10.28515625" style="570" customWidth="1"/>
    <col min="11" max="11" width="7" style="570" customWidth="1"/>
    <col min="12" max="16384" width="11.42578125" style="569"/>
  </cols>
  <sheetData>
    <row r="1" spans="1:11" ht="13.9" customHeight="1" x14ac:dyDescent="0.25">
      <c r="A1" s="586"/>
      <c r="C1" s="585" t="s">
        <v>584</v>
      </c>
      <c r="H1" s="585"/>
    </row>
    <row r="3" spans="1:11" ht="13.9" customHeight="1" x14ac:dyDescent="0.25">
      <c r="C3" s="579" t="s">
        <v>583</v>
      </c>
      <c r="D3" s="584">
        <v>2019</v>
      </c>
    </row>
    <row r="5" spans="1:11" ht="13.9" customHeight="1" x14ac:dyDescent="0.25">
      <c r="C5" s="2106" t="s">
        <v>135</v>
      </c>
      <c r="D5" s="2107"/>
      <c r="E5" s="2107"/>
      <c r="F5" s="2107"/>
      <c r="G5" s="2107"/>
      <c r="H5" s="2107"/>
      <c r="I5" s="2107"/>
      <c r="J5" s="2107"/>
      <c r="K5" s="2107"/>
    </row>
    <row r="6" spans="1:11" ht="13.9" customHeight="1" x14ac:dyDescent="0.25">
      <c r="C6" s="583" t="s">
        <v>96</v>
      </c>
      <c r="D6" s="2103" t="s">
        <v>146</v>
      </c>
      <c r="E6" s="2104"/>
      <c r="F6" s="2104"/>
      <c r="G6" s="2104"/>
      <c r="H6" s="2104"/>
      <c r="I6" s="2104"/>
      <c r="J6" s="2104"/>
      <c r="K6" s="2105"/>
    </row>
    <row r="7" spans="1:11" ht="13.9" customHeight="1" x14ac:dyDescent="0.25">
      <c r="C7" s="582" t="s">
        <v>4</v>
      </c>
      <c r="D7" s="2112" t="s">
        <v>144</v>
      </c>
      <c r="E7" s="2113"/>
      <c r="F7" s="2113"/>
      <c r="G7" s="2113"/>
      <c r="H7" s="2113"/>
      <c r="I7" s="2113"/>
      <c r="J7" s="2113"/>
      <c r="K7" s="2113"/>
    </row>
    <row r="8" spans="1:11" ht="13.9" customHeight="1" x14ac:dyDescent="0.25">
      <c r="C8" s="581" t="s">
        <v>136</v>
      </c>
      <c r="D8" s="2114" t="s">
        <v>5</v>
      </c>
      <c r="E8" s="2115"/>
      <c r="F8" s="2115"/>
      <c r="G8" s="2115"/>
      <c r="H8" s="2115"/>
      <c r="I8" s="2115"/>
      <c r="J8" s="2115"/>
      <c r="K8" s="2115"/>
    </row>
    <row r="9" spans="1:11" ht="13.9" customHeight="1" x14ac:dyDescent="0.25">
      <c r="C9" s="2108" t="s">
        <v>582</v>
      </c>
      <c r="D9" s="2109"/>
      <c r="E9" s="2109"/>
      <c r="F9" s="2109"/>
      <c r="G9" s="2109"/>
      <c r="H9" s="2109"/>
      <c r="I9" s="2109"/>
      <c r="J9" s="2109"/>
      <c r="K9" s="2109"/>
    </row>
    <row r="10" spans="1:11" ht="13.9" customHeight="1" x14ac:dyDescent="0.25">
      <c r="C10" s="2088" t="s">
        <v>145</v>
      </c>
      <c r="D10" s="2089"/>
      <c r="E10" s="2089"/>
      <c r="F10" s="2089"/>
      <c r="G10" s="2089"/>
      <c r="H10" s="2089"/>
      <c r="I10" s="2089"/>
      <c r="J10" s="2089"/>
      <c r="K10" s="2090"/>
    </row>
    <row r="11" spans="1:11" ht="13.9" customHeight="1" x14ac:dyDescent="0.25">
      <c r="C11" s="2091"/>
      <c r="D11" s="2092"/>
      <c r="E11" s="2092"/>
      <c r="F11" s="2092"/>
      <c r="G11" s="2092"/>
      <c r="H11" s="2092"/>
      <c r="I11" s="2092"/>
      <c r="J11" s="2092"/>
      <c r="K11" s="2093"/>
    </row>
    <row r="12" spans="1:11" ht="13.9" customHeight="1" x14ac:dyDescent="0.25">
      <c r="C12" s="2091"/>
      <c r="D12" s="2092"/>
      <c r="E12" s="2092"/>
      <c r="F12" s="2092"/>
      <c r="G12" s="2092"/>
      <c r="H12" s="2092"/>
      <c r="I12" s="2092"/>
      <c r="J12" s="2092"/>
      <c r="K12" s="2093"/>
    </row>
    <row r="13" spans="1:11" ht="13.9" customHeight="1" x14ac:dyDescent="0.25">
      <c r="C13" s="2091"/>
      <c r="D13" s="2092"/>
      <c r="E13" s="2092"/>
      <c r="F13" s="2092"/>
      <c r="G13" s="2092"/>
      <c r="H13" s="2092"/>
      <c r="I13" s="2092"/>
      <c r="J13" s="2092"/>
      <c r="K13" s="2093"/>
    </row>
    <row r="14" spans="1:11" ht="34.9" customHeight="1" x14ac:dyDescent="0.25">
      <c r="C14" s="2094"/>
      <c r="D14" s="2095"/>
      <c r="E14" s="2095"/>
      <c r="F14" s="2095"/>
      <c r="G14" s="2095"/>
      <c r="H14" s="2095"/>
      <c r="I14" s="2095"/>
      <c r="J14" s="2095"/>
      <c r="K14" s="2096"/>
    </row>
    <row r="15" spans="1:11" ht="13.9" customHeight="1" x14ac:dyDescent="0.25">
      <c r="C15" s="580"/>
      <c r="D15" s="580"/>
      <c r="E15" s="580"/>
      <c r="F15" s="580"/>
      <c r="G15" s="580"/>
      <c r="H15" s="580"/>
      <c r="I15" s="580"/>
      <c r="J15" s="580"/>
      <c r="K15" s="580"/>
    </row>
    <row r="16" spans="1:11" ht="13.9" customHeight="1" x14ac:dyDescent="0.25">
      <c r="C16" s="2108" t="s">
        <v>137</v>
      </c>
      <c r="D16" s="2109"/>
      <c r="E16" s="2109"/>
      <c r="F16" s="2109"/>
      <c r="G16" s="2109"/>
      <c r="H16" s="2109"/>
      <c r="I16" s="2109"/>
      <c r="J16" s="2109"/>
      <c r="K16" s="2109"/>
    </row>
    <row r="17" spans="3:11" ht="13.9" customHeight="1" x14ac:dyDescent="0.25">
      <c r="C17" s="2088" t="s">
        <v>147</v>
      </c>
      <c r="D17" s="2089"/>
      <c r="E17" s="2089"/>
      <c r="F17" s="2089"/>
      <c r="G17" s="2089"/>
      <c r="H17" s="2089"/>
      <c r="I17" s="2089"/>
      <c r="J17" s="2089"/>
      <c r="K17" s="2090"/>
    </row>
    <row r="18" spans="3:11" ht="13.9" customHeight="1" x14ac:dyDescent="0.25">
      <c r="C18" s="2091"/>
      <c r="D18" s="2092"/>
      <c r="E18" s="2092"/>
      <c r="F18" s="2092"/>
      <c r="G18" s="2092"/>
      <c r="H18" s="2092"/>
      <c r="I18" s="2092"/>
      <c r="J18" s="2092"/>
      <c r="K18" s="2093"/>
    </row>
    <row r="19" spans="3:11" ht="13.9" customHeight="1" x14ac:dyDescent="0.25">
      <c r="C19" s="2091"/>
      <c r="D19" s="2092"/>
      <c r="E19" s="2092"/>
      <c r="F19" s="2092"/>
      <c r="G19" s="2092"/>
      <c r="H19" s="2092"/>
      <c r="I19" s="2092"/>
      <c r="J19" s="2092"/>
      <c r="K19" s="2093"/>
    </row>
    <row r="20" spans="3:11" ht="13.9" customHeight="1" x14ac:dyDescent="0.25">
      <c r="C20" s="2091"/>
      <c r="D20" s="2092"/>
      <c r="E20" s="2092"/>
      <c r="F20" s="2092"/>
      <c r="G20" s="2092"/>
      <c r="H20" s="2092"/>
      <c r="I20" s="2092"/>
      <c r="J20" s="2092"/>
      <c r="K20" s="2093"/>
    </row>
    <row r="21" spans="3:11" ht="13.9" customHeight="1" x14ac:dyDescent="0.25">
      <c r="C21" s="2091"/>
      <c r="D21" s="2092"/>
      <c r="E21" s="2092"/>
      <c r="F21" s="2092"/>
      <c r="G21" s="2092"/>
      <c r="H21" s="2092"/>
      <c r="I21" s="2092"/>
      <c r="J21" s="2092"/>
      <c r="K21" s="2093"/>
    </row>
    <row r="22" spans="3:11" ht="4.9000000000000004" customHeight="1" x14ac:dyDescent="0.25">
      <c r="C22" s="2094"/>
      <c r="D22" s="2095"/>
      <c r="E22" s="2095"/>
      <c r="F22" s="2095"/>
      <c r="G22" s="2095"/>
      <c r="H22" s="2095"/>
      <c r="I22" s="2095"/>
      <c r="J22" s="2095"/>
      <c r="K22" s="2096"/>
    </row>
    <row r="23" spans="3:11" ht="13.9" customHeight="1" x14ac:dyDescent="0.25">
      <c r="C23" s="2110" t="s">
        <v>581</v>
      </c>
      <c r="D23" s="2111"/>
      <c r="E23" s="2111"/>
      <c r="F23" s="2111"/>
      <c r="G23" s="2111"/>
      <c r="H23" s="2111"/>
      <c r="I23" s="2111"/>
      <c r="J23" s="2111"/>
      <c r="K23" s="2111"/>
    </row>
    <row r="24" spans="3:11" ht="13.9" customHeight="1" x14ac:dyDescent="0.25">
      <c r="C24" s="579" t="s">
        <v>580</v>
      </c>
    </row>
    <row r="25" spans="3:11" ht="13.9" customHeight="1" x14ac:dyDescent="0.25">
      <c r="C25" s="2088" t="s">
        <v>579</v>
      </c>
      <c r="D25" s="2089"/>
      <c r="E25" s="2089"/>
      <c r="F25" s="2089"/>
      <c r="G25" s="2089"/>
      <c r="H25" s="2089"/>
      <c r="I25" s="2089"/>
      <c r="J25" s="2089"/>
      <c r="K25" s="2090"/>
    </row>
    <row r="26" spans="3:11" ht="13.9" customHeight="1" x14ac:dyDescent="0.25">
      <c r="C26" s="2091"/>
      <c r="D26" s="2092"/>
      <c r="E26" s="2092"/>
      <c r="F26" s="2092"/>
      <c r="G26" s="2092"/>
      <c r="H26" s="2092"/>
      <c r="I26" s="2092"/>
      <c r="J26" s="2092"/>
      <c r="K26" s="2093"/>
    </row>
    <row r="27" spans="3:11" ht="13.9" customHeight="1" x14ac:dyDescent="0.25">
      <c r="C27" s="2091"/>
      <c r="D27" s="2092"/>
      <c r="E27" s="2092"/>
      <c r="F27" s="2092"/>
      <c r="G27" s="2092"/>
      <c r="H27" s="2092"/>
      <c r="I27" s="2092"/>
      <c r="J27" s="2092"/>
      <c r="K27" s="2093"/>
    </row>
    <row r="28" spans="3:11" ht="13.9" customHeight="1" x14ac:dyDescent="0.25">
      <c r="C28" s="2091"/>
      <c r="D28" s="2092"/>
      <c r="E28" s="2092"/>
      <c r="F28" s="2092"/>
      <c r="G28" s="2092"/>
      <c r="H28" s="2092"/>
      <c r="I28" s="2092"/>
      <c r="J28" s="2092"/>
      <c r="K28" s="2093"/>
    </row>
    <row r="29" spans="3:11" ht="13.9" customHeight="1" x14ac:dyDescent="0.25">
      <c r="C29" s="2091"/>
      <c r="D29" s="2092"/>
      <c r="E29" s="2092"/>
      <c r="F29" s="2092"/>
      <c r="G29" s="2092"/>
      <c r="H29" s="2092"/>
      <c r="I29" s="2092"/>
      <c r="J29" s="2092"/>
      <c r="K29" s="2093"/>
    </row>
    <row r="30" spans="3:11" ht="70.900000000000006" customHeight="1" x14ac:dyDescent="0.25">
      <c r="C30" s="2094"/>
      <c r="D30" s="2095"/>
      <c r="E30" s="2095"/>
      <c r="F30" s="2095"/>
      <c r="G30" s="2095"/>
      <c r="H30" s="2095"/>
      <c r="I30" s="2095"/>
      <c r="J30" s="2095"/>
      <c r="K30" s="2096"/>
    </row>
    <row r="31" spans="3:11" ht="13.9" customHeight="1" x14ac:dyDescent="0.25">
      <c r="C31" s="579" t="s">
        <v>578</v>
      </c>
    </row>
    <row r="32" spans="3:11" ht="13.9" customHeight="1" x14ac:dyDescent="0.25">
      <c r="C32" s="2088" t="s">
        <v>577</v>
      </c>
      <c r="D32" s="2089"/>
      <c r="E32" s="2089"/>
      <c r="F32" s="2089"/>
      <c r="G32" s="2089"/>
      <c r="H32" s="2089"/>
      <c r="I32" s="2089"/>
      <c r="J32" s="2089"/>
      <c r="K32" s="2090"/>
    </row>
    <row r="33" spans="3:11" ht="13.9" customHeight="1" x14ac:dyDescent="0.25">
      <c r="C33" s="2091"/>
      <c r="D33" s="2092"/>
      <c r="E33" s="2092"/>
      <c r="F33" s="2092"/>
      <c r="G33" s="2092"/>
      <c r="H33" s="2092"/>
      <c r="I33" s="2092"/>
      <c r="J33" s="2092"/>
      <c r="K33" s="2093"/>
    </row>
    <row r="34" spans="3:11" ht="13.9" customHeight="1" x14ac:dyDescent="0.25">
      <c r="C34" s="2091"/>
      <c r="D34" s="2092"/>
      <c r="E34" s="2092"/>
      <c r="F34" s="2092"/>
      <c r="G34" s="2092"/>
      <c r="H34" s="2092"/>
      <c r="I34" s="2092"/>
      <c r="J34" s="2092"/>
      <c r="K34" s="2093"/>
    </row>
    <row r="35" spans="3:11" ht="13.9" customHeight="1" x14ac:dyDescent="0.25">
      <c r="C35" s="2091"/>
      <c r="D35" s="2092"/>
      <c r="E35" s="2092"/>
      <c r="F35" s="2092"/>
      <c r="G35" s="2092"/>
      <c r="H35" s="2092"/>
      <c r="I35" s="2092"/>
      <c r="J35" s="2092"/>
      <c r="K35" s="2093"/>
    </row>
    <row r="36" spans="3:11" ht="13.9" customHeight="1" x14ac:dyDescent="0.25">
      <c r="C36" s="2091"/>
      <c r="D36" s="2092"/>
      <c r="E36" s="2092"/>
      <c r="F36" s="2092"/>
      <c r="G36" s="2092"/>
      <c r="H36" s="2092"/>
      <c r="I36" s="2092"/>
      <c r="J36" s="2092"/>
      <c r="K36" s="2093"/>
    </row>
    <row r="37" spans="3:11" ht="82.15" customHeight="1" x14ac:dyDescent="0.25">
      <c r="C37" s="2094"/>
      <c r="D37" s="2095"/>
      <c r="E37" s="2095"/>
      <c r="F37" s="2095"/>
      <c r="G37" s="2095"/>
      <c r="H37" s="2095"/>
      <c r="I37" s="2095"/>
      <c r="J37" s="2095"/>
      <c r="K37" s="2096"/>
    </row>
    <row r="38" spans="3:11" ht="13.9" customHeight="1" x14ac:dyDescent="0.25">
      <c r="C38" s="579" t="s">
        <v>576</v>
      </c>
    </row>
    <row r="39" spans="3:11" ht="13.9" customHeight="1" x14ac:dyDescent="0.25">
      <c r="C39" s="2088" t="s">
        <v>575</v>
      </c>
      <c r="D39" s="2089"/>
      <c r="E39" s="2089"/>
      <c r="F39" s="2089"/>
      <c r="G39" s="2089"/>
      <c r="H39" s="2089"/>
      <c r="I39" s="2089"/>
      <c r="J39" s="2089"/>
      <c r="K39" s="2090"/>
    </row>
    <row r="40" spans="3:11" ht="13.9" customHeight="1" x14ac:dyDescent="0.25">
      <c r="C40" s="2091"/>
      <c r="D40" s="2092"/>
      <c r="E40" s="2092"/>
      <c r="F40" s="2092"/>
      <c r="G40" s="2092"/>
      <c r="H40" s="2092"/>
      <c r="I40" s="2092"/>
      <c r="J40" s="2092"/>
      <c r="K40" s="2093"/>
    </row>
    <row r="41" spans="3:11" ht="13.9" customHeight="1" x14ac:dyDescent="0.25">
      <c r="C41" s="2091"/>
      <c r="D41" s="2092"/>
      <c r="E41" s="2092"/>
      <c r="F41" s="2092"/>
      <c r="G41" s="2092"/>
      <c r="H41" s="2092"/>
      <c r="I41" s="2092"/>
      <c r="J41" s="2092"/>
      <c r="K41" s="2093"/>
    </row>
    <row r="42" spans="3:11" ht="13.9" customHeight="1" x14ac:dyDescent="0.25">
      <c r="C42" s="2091"/>
      <c r="D42" s="2092"/>
      <c r="E42" s="2092"/>
      <c r="F42" s="2092"/>
      <c r="G42" s="2092"/>
      <c r="H42" s="2092"/>
      <c r="I42" s="2092"/>
      <c r="J42" s="2092"/>
      <c r="K42" s="2093"/>
    </row>
    <row r="43" spans="3:11" ht="13.9" customHeight="1" x14ac:dyDescent="0.25">
      <c r="C43" s="2091"/>
      <c r="D43" s="2092"/>
      <c r="E43" s="2092"/>
      <c r="F43" s="2092"/>
      <c r="G43" s="2092"/>
      <c r="H43" s="2092"/>
      <c r="I43" s="2092"/>
      <c r="J43" s="2092"/>
      <c r="K43" s="2093"/>
    </row>
    <row r="44" spans="3:11" ht="74.45" customHeight="1" x14ac:dyDescent="0.25">
      <c r="C44" s="2094"/>
      <c r="D44" s="2095"/>
      <c r="E44" s="2095"/>
      <c r="F44" s="2095"/>
      <c r="G44" s="2095"/>
      <c r="H44" s="2095"/>
      <c r="I44" s="2095"/>
      <c r="J44" s="2095"/>
      <c r="K44" s="2096"/>
    </row>
    <row r="45" spans="3:11" ht="13.9" customHeight="1" x14ac:dyDescent="0.25">
      <c r="C45" s="579" t="s">
        <v>574</v>
      </c>
    </row>
    <row r="46" spans="3:11" ht="13.9" customHeight="1" x14ac:dyDescent="0.25">
      <c r="C46" s="2088" t="s">
        <v>573</v>
      </c>
      <c r="D46" s="2089"/>
      <c r="E46" s="2089"/>
      <c r="F46" s="2089"/>
      <c r="G46" s="2089"/>
      <c r="H46" s="2089"/>
      <c r="I46" s="2089"/>
      <c r="J46" s="2089"/>
      <c r="K46" s="2090"/>
    </row>
    <row r="47" spans="3:11" ht="13.9" customHeight="1" x14ac:dyDescent="0.25">
      <c r="C47" s="2091"/>
      <c r="D47" s="2092"/>
      <c r="E47" s="2092"/>
      <c r="F47" s="2092"/>
      <c r="G47" s="2092"/>
      <c r="H47" s="2092"/>
      <c r="I47" s="2092"/>
      <c r="J47" s="2092"/>
      <c r="K47" s="2093"/>
    </row>
    <row r="48" spans="3:11" ht="13.9" customHeight="1" x14ac:dyDescent="0.25">
      <c r="C48" s="2091"/>
      <c r="D48" s="2092"/>
      <c r="E48" s="2092"/>
      <c r="F48" s="2092"/>
      <c r="G48" s="2092"/>
      <c r="H48" s="2092"/>
      <c r="I48" s="2092"/>
      <c r="J48" s="2092"/>
      <c r="K48" s="2093"/>
    </row>
    <row r="49" spans="1:11" ht="13.9" customHeight="1" x14ac:dyDescent="0.25">
      <c r="C49" s="2091"/>
      <c r="D49" s="2092"/>
      <c r="E49" s="2092"/>
      <c r="F49" s="2092"/>
      <c r="G49" s="2092"/>
      <c r="H49" s="2092"/>
      <c r="I49" s="2092"/>
      <c r="J49" s="2092"/>
      <c r="K49" s="2093"/>
    </row>
    <row r="50" spans="1:11" ht="13.9" customHeight="1" x14ac:dyDescent="0.25">
      <c r="C50" s="2091"/>
      <c r="D50" s="2092"/>
      <c r="E50" s="2092"/>
      <c r="F50" s="2092"/>
      <c r="G50" s="2092"/>
      <c r="H50" s="2092"/>
      <c r="I50" s="2092"/>
      <c r="J50" s="2092"/>
      <c r="K50" s="2093"/>
    </row>
    <row r="51" spans="1:11" ht="67.900000000000006" customHeight="1" x14ac:dyDescent="0.25">
      <c r="C51" s="2094"/>
      <c r="D51" s="2095"/>
      <c r="E51" s="2095"/>
      <c r="F51" s="2095"/>
      <c r="G51" s="2095"/>
      <c r="H51" s="2095"/>
      <c r="I51" s="2095"/>
      <c r="J51" s="2095"/>
      <c r="K51" s="2096"/>
    </row>
    <row r="52" spans="1:11" ht="13.9" customHeight="1" x14ac:dyDescent="0.25">
      <c r="C52" s="579" t="s">
        <v>572</v>
      </c>
      <c r="D52" s="579"/>
      <c r="E52" s="579"/>
    </row>
    <row r="53" spans="1:11" ht="13.9" customHeight="1" x14ac:dyDescent="0.25">
      <c r="C53" s="2088" t="s">
        <v>571</v>
      </c>
      <c r="D53" s="2089"/>
      <c r="E53" s="2089"/>
      <c r="F53" s="2089"/>
      <c r="G53" s="2089"/>
      <c r="H53" s="2089"/>
      <c r="I53" s="2089"/>
      <c r="J53" s="2089"/>
      <c r="K53" s="2090"/>
    </row>
    <row r="54" spans="1:11" ht="13.9" customHeight="1" x14ac:dyDescent="0.25">
      <c r="C54" s="2091"/>
      <c r="D54" s="2092"/>
      <c r="E54" s="2092"/>
      <c r="F54" s="2092"/>
      <c r="G54" s="2092"/>
      <c r="H54" s="2092"/>
      <c r="I54" s="2092"/>
      <c r="J54" s="2092"/>
      <c r="K54" s="2093"/>
    </row>
    <row r="55" spans="1:11" ht="13.9" customHeight="1" x14ac:dyDescent="0.25">
      <c r="C55" s="2091"/>
      <c r="D55" s="2092"/>
      <c r="E55" s="2092"/>
      <c r="F55" s="2092"/>
      <c r="G55" s="2092"/>
      <c r="H55" s="2092"/>
      <c r="I55" s="2092"/>
      <c r="J55" s="2092"/>
      <c r="K55" s="2093"/>
    </row>
    <row r="56" spans="1:11" ht="13.9" customHeight="1" x14ac:dyDescent="0.25">
      <c r="C56" s="2091"/>
      <c r="D56" s="2092"/>
      <c r="E56" s="2092"/>
      <c r="F56" s="2092"/>
      <c r="G56" s="2092"/>
      <c r="H56" s="2092"/>
      <c r="I56" s="2092"/>
      <c r="J56" s="2092"/>
      <c r="K56" s="2093"/>
    </row>
    <row r="57" spans="1:11" ht="13.9" customHeight="1" x14ac:dyDescent="0.25">
      <c r="C57" s="2091"/>
      <c r="D57" s="2092"/>
      <c r="E57" s="2092"/>
      <c r="F57" s="2092"/>
      <c r="G57" s="2092"/>
      <c r="H57" s="2092"/>
      <c r="I57" s="2092"/>
      <c r="J57" s="2092"/>
      <c r="K57" s="2093"/>
    </row>
    <row r="58" spans="1:11" ht="66.599999999999994" customHeight="1" x14ac:dyDescent="0.25">
      <c r="C58" s="2094"/>
      <c r="D58" s="2095"/>
      <c r="E58" s="2095"/>
      <c r="F58" s="2095"/>
      <c r="G58" s="2095"/>
      <c r="H58" s="2095"/>
      <c r="I58" s="2095"/>
      <c r="J58" s="2095"/>
      <c r="K58" s="2096"/>
    </row>
    <row r="61" spans="1:11" ht="13.9" customHeight="1" x14ac:dyDescent="0.25">
      <c r="A61" s="2097" t="s">
        <v>487</v>
      </c>
      <c r="B61" s="572" t="s">
        <v>80</v>
      </c>
      <c r="C61" s="577"/>
      <c r="D61" s="575"/>
      <c r="E61" s="2100" t="s">
        <v>488</v>
      </c>
      <c r="F61" s="572" t="s">
        <v>80</v>
      </c>
      <c r="G61" s="577"/>
      <c r="H61" s="575"/>
      <c r="I61" s="578"/>
      <c r="J61" s="572" t="s">
        <v>80</v>
      </c>
      <c r="K61" s="575"/>
    </row>
    <row r="62" spans="1:11" ht="13.9" customHeight="1" x14ac:dyDescent="0.25">
      <c r="A62" s="2098"/>
      <c r="B62" s="572" t="s">
        <v>490</v>
      </c>
      <c r="C62" s="577"/>
      <c r="D62" s="575"/>
      <c r="E62" s="2101"/>
      <c r="F62" s="572" t="s">
        <v>490</v>
      </c>
      <c r="G62" s="577"/>
      <c r="H62" s="575"/>
      <c r="I62" s="576" t="s">
        <v>489</v>
      </c>
      <c r="J62" s="572" t="s">
        <v>490</v>
      </c>
      <c r="K62" s="575"/>
    </row>
    <row r="63" spans="1:11" ht="13.9" customHeight="1" x14ac:dyDescent="0.25">
      <c r="A63" s="2099"/>
      <c r="B63" s="572" t="s">
        <v>82</v>
      </c>
      <c r="C63" s="574"/>
      <c r="D63" s="571"/>
      <c r="E63" s="2102"/>
      <c r="F63" s="572" t="s">
        <v>82</v>
      </c>
      <c r="G63" s="574"/>
      <c r="H63" s="571"/>
      <c r="I63" s="573"/>
      <c r="J63" s="572" t="s">
        <v>82</v>
      </c>
      <c r="K63" s="571"/>
    </row>
  </sheetData>
  <mergeCells count="16">
    <mergeCell ref="D6:K6"/>
    <mergeCell ref="C5:K5"/>
    <mergeCell ref="C16:K16"/>
    <mergeCell ref="C9:K9"/>
    <mergeCell ref="C23:K23"/>
    <mergeCell ref="D7:K7"/>
    <mergeCell ref="D8:K8"/>
    <mergeCell ref="C46:K51"/>
    <mergeCell ref="C53:K58"/>
    <mergeCell ref="A61:A63"/>
    <mergeCell ref="E61:E63"/>
    <mergeCell ref="C10:K14"/>
    <mergeCell ref="C17:K22"/>
    <mergeCell ref="C25:K30"/>
    <mergeCell ref="C32:K37"/>
    <mergeCell ref="C39:K44"/>
  </mergeCells>
  <pageMargins left="0.15748031496062992" right="0.15748031496062992" top="0.31496062992125984" bottom="0.35433070866141736" header="0.15748031496062992" footer="0.15748031496062992"/>
  <pageSetup paperSize="9" scale="83" orientation="portrait" horizontalDpi="4294967295" verticalDpi="4294967295" r:id="rId1"/>
  <rowBreaks count="2" manualBreakCount="2">
    <brk id="44" max="11" man="1"/>
    <brk id="65" max="1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J282"/>
  <sheetViews>
    <sheetView topLeftCell="A247" zoomScale="112" zoomScaleNormal="112" workbookViewId="0">
      <selection activeCell="C269" sqref="C269:G269"/>
    </sheetView>
  </sheetViews>
  <sheetFormatPr defaultColWidth="8.85546875" defaultRowHeight="12.6" customHeight="1" x14ac:dyDescent="0.25"/>
  <cols>
    <col min="1" max="1" width="3.28515625" style="618" customWidth="1"/>
    <col min="2" max="2" width="6.5703125" style="618" customWidth="1"/>
    <col min="3" max="3" width="41.28515625" style="618" customWidth="1"/>
    <col min="4" max="4" width="12.28515625" style="618" customWidth="1"/>
    <col min="5" max="5" width="11.5703125" style="618" customWidth="1"/>
    <col min="6" max="6" width="12.140625" style="618" customWidth="1"/>
    <col min="7" max="7" width="15.5703125" style="618" customWidth="1"/>
    <col min="8" max="8" width="8.85546875" style="618"/>
    <col min="9" max="9" width="9" style="618" customWidth="1"/>
    <col min="10" max="10" width="9.7109375" style="618" customWidth="1"/>
    <col min="11" max="16384" width="8.85546875" style="618"/>
  </cols>
  <sheetData>
    <row r="2" spans="3:7" ht="12.6" customHeight="1" x14ac:dyDescent="0.25">
      <c r="C2" s="2816" t="s">
        <v>128</v>
      </c>
      <c r="D2" s="2816"/>
      <c r="E2" s="2816"/>
      <c r="F2" s="2816"/>
      <c r="G2" s="2816"/>
    </row>
    <row r="3" spans="3:7" ht="12.6" customHeight="1" x14ac:dyDescent="0.25">
      <c r="C3" s="2817" t="s">
        <v>127</v>
      </c>
      <c r="D3" s="2817"/>
      <c r="E3" s="2817"/>
      <c r="F3" s="2817"/>
      <c r="G3" s="2817"/>
    </row>
    <row r="4" spans="3:7" ht="12.6" customHeight="1" thickBot="1" x14ac:dyDescent="0.3"/>
    <row r="5" spans="3:7" ht="12.6" customHeight="1" thickBot="1" x14ac:dyDescent="0.3">
      <c r="C5" s="1260" t="s">
        <v>20</v>
      </c>
      <c r="D5" s="2818" t="s">
        <v>863</v>
      </c>
      <c r="E5" s="2818"/>
      <c r="F5" s="2818"/>
      <c r="G5" s="2819"/>
    </row>
    <row r="6" spans="3:7" ht="12.6" customHeight="1" thickBot="1" x14ac:dyDescent="0.3">
      <c r="C6" s="1260" t="s">
        <v>4</v>
      </c>
      <c r="D6" s="2820" t="s">
        <v>457</v>
      </c>
      <c r="E6" s="2821"/>
      <c r="F6" s="2821"/>
      <c r="G6" s="2822"/>
    </row>
    <row r="7" spans="3:7" ht="12.6" customHeight="1" thickBot="1" x14ac:dyDescent="0.3">
      <c r="C7" s="1260" t="s">
        <v>35</v>
      </c>
      <c r="D7" s="2823" t="s">
        <v>5</v>
      </c>
      <c r="E7" s="2824"/>
      <c r="F7" s="2824"/>
      <c r="G7" s="2825"/>
    </row>
    <row r="8" spans="3:7" ht="12.6" customHeight="1" thickBot="1" x14ac:dyDescent="0.3">
      <c r="C8" s="2813" t="s">
        <v>8</v>
      </c>
      <c r="D8" s="2814"/>
      <c r="E8" s="2814"/>
      <c r="F8" s="2814"/>
      <c r="G8" s="2815"/>
    </row>
    <row r="9" spans="3:7" ht="31.9" customHeight="1" thickBot="1" x14ac:dyDescent="0.3">
      <c r="C9" s="2829" t="s">
        <v>552</v>
      </c>
      <c r="D9" s="2830"/>
      <c r="E9" s="2830"/>
      <c r="F9" s="2830"/>
      <c r="G9" s="2831"/>
    </row>
    <row r="10" spans="3:7" ht="73.150000000000006" customHeight="1" thickBot="1" x14ac:dyDescent="0.3">
      <c r="C10" s="1261" t="s">
        <v>11</v>
      </c>
      <c r="D10" s="2830" t="s">
        <v>824</v>
      </c>
      <c r="E10" s="2832"/>
      <c r="F10" s="2832"/>
      <c r="G10" s="2833"/>
    </row>
    <row r="11" spans="3:7" ht="12.6" customHeight="1" x14ac:dyDescent="0.25">
      <c r="C11" s="2834" t="s">
        <v>119</v>
      </c>
      <c r="D11" s="1262">
        <v>2018</v>
      </c>
      <c r="E11" s="1262">
        <v>2019</v>
      </c>
      <c r="F11" s="1262">
        <v>2020</v>
      </c>
      <c r="G11" s="1262">
        <v>2021</v>
      </c>
    </row>
    <row r="12" spans="3:7" ht="12.6" customHeight="1" thickBot="1" x14ac:dyDescent="0.3">
      <c r="C12" s="2835"/>
      <c r="D12" s="1263" t="s">
        <v>6</v>
      </c>
      <c r="E12" s="1263" t="s">
        <v>7</v>
      </c>
      <c r="F12" s="1263" t="s">
        <v>7</v>
      </c>
      <c r="G12" s="1263" t="s">
        <v>7</v>
      </c>
    </row>
    <row r="13" spans="3:7" ht="12.6" customHeight="1" x14ac:dyDescent="0.25">
      <c r="C13" s="1264" t="s">
        <v>859</v>
      </c>
      <c r="D13" s="1265">
        <v>1.25193873536316E-2</v>
      </c>
      <c r="E13" s="1265">
        <v>2.0861932095276037E-2</v>
      </c>
      <c r="F13" s="1266">
        <v>2.1519049249278624E-2</v>
      </c>
      <c r="G13" s="1266">
        <v>2.2653613420573621E-2</v>
      </c>
    </row>
    <row r="14" spans="3:7" ht="12.6" customHeight="1" x14ac:dyDescent="0.25">
      <c r="C14" s="1267" t="s">
        <v>687</v>
      </c>
      <c r="D14" s="1268">
        <v>2.9117331898140069E-4</v>
      </c>
      <c r="E14" s="1268">
        <v>4.672385970990181E-4</v>
      </c>
      <c r="F14" s="1269">
        <v>4.6983975794709923E-4</v>
      </c>
      <c r="G14" s="1269">
        <v>4.604008110604976E-4</v>
      </c>
    </row>
    <row r="15" spans="3:7" ht="12.6" customHeight="1" x14ac:dyDescent="0.25">
      <c r="C15" s="1264" t="s">
        <v>686</v>
      </c>
      <c r="D15" s="1265">
        <v>9.6650967974265143E-4</v>
      </c>
      <c r="E15" s="1265">
        <v>1.5659942440162788E-3</v>
      </c>
      <c r="F15" s="1266">
        <v>1.6006926633706949E-3</v>
      </c>
      <c r="G15" s="1266">
        <v>1.6103064086334356E-3</v>
      </c>
    </row>
    <row r="16" spans="3:7" ht="12.6" customHeight="1" x14ac:dyDescent="0.25">
      <c r="C16" s="1264" t="s">
        <v>858</v>
      </c>
      <c r="D16" s="1270">
        <v>480422</v>
      </c>
      <c r="E16" s="1270">
        <v>820000</v>
      </c>
      <c r="F16" s="1270">
        <v>880000</v>
      </c>
      <c r="G16" s="1270">
        <v>920960</v>
      </c>
    </row>
    <row r="17" spans="3:7" ht="21.6" customHeight="1" x14ac:dyDescent="0.25">
      <c r="C17" s="1271" t="s">
        <v>994</v>
      </c>
      <c r="D17" s="1272">
        <v>12186945</v>
      </c>
      <c r="E17" s="1272">
        <v>12834691</v>
      </c>
      <c r="F17" s="1273">
        <v>13429951</v>
      </c>
      <c r="G17" s="1273">
        <v>13659951</v>
      </c>
    </row>
    <row r="18" spans="3:7" ht="12.6" customHeight="1" x14ac:dyDescent="0.25">
      <c r="C18" s="1274" t="s">
        <v>861</v>
      </c>
      <c r="D18" s="1275">
        <v>0.31758138701475852</v>
      </c>
      <c r="E18" s="1275">
        <v>0.32653225866567132</v>
      </c>
      <c r="F18" s="1266">
        <v>0.32840883748227123</v>
      </c>
      <c r="G18" s="1266">
        <v>0.3360050917498893</v>
      </c>
    </row>
    <row r="19" spans="3:7" ht="12.6" customHeight="1" x14ac:dyDescent="0.25">
      <c r="C19" s="1274" t="s">
        <v>687</v>
      </c>
      <c r="D19" s="1275">
        <v>7.3862421452260433E-3</v>
      </c>
      <c r="E19" s="1275">
        <v>7.3132475817553584E-3</v>
      </c>
      <c r="F19" s="1266">
        <v>7.1703692353197769E-3</v>
      </c>
      <c r="G19" s="1266">
        <v>6.8288009462372469E-3</v>
      </c>
    </row>
    <row r="20" spans="3:7" ht="12.6" customHeight="1" x14ac:dyDescent="0.25">
      <c r="C20" s="1274" t="s">
        <v>686</v>
      </c>
      <c r="D20" s="1275">
        <v>2.4517612242968279E-2</v>
      </c>
      <c r="E20" s="1275">
        <v>2.4511039304545776E-2</v>
      </c>
      <c r="F20" s="1266">
        <v>2.4428663676281735E-2</v>
      </c>
      <c r="G20" s="1266">
        <v>2.3884540736751551E-2</v>
      </c>
    </row>
    <row r="21" spans="3:7" ht="12.6" customHeight="1" x14ac:dyDescent="0.25">
      <c r="C21" s="1276"/>
      <c r="D21" s="1277"/>
      <c r="E21" s="1277"/>
      <c r="F21" s="1278"/>
      <c r="G21" s="1278"/>
    </row>
    <row r="22" spans="3:7" ht="12.6" customHeight="1" x14ac:dyDescent="0.25">
      <c r="C22" s="1276"/>
      <c r="D22" s="1277"/>
      <c r="E22" s="1277"/>
      <c r="F22" s="1278"/>
      <c r="G22" s="1278"/>
    </row>
    <row r="23" spans="3:7" ht="12.6" customHeight="1" thickBot="1" x14ac:dyDescent="0.3">
      <c r="C23" s="1276"/>
      <c r="D23" s="1277"/>
      <c r="E23" s="1277"/>
      <c r="F23" s="1278"/>
      <c r="G23" s="1278"/>
    </row>
    <row r="24" spans="3:7" s="1279" customFormat="1" ht="13.9" customHeight="1" thickBot="1" x14ac:dyDescent="0.3">
      <c r="C24" s="1280" t="s">
        <v>12</v>
      </c>
      <c r="D24" s="2836" t="s">
        <v>860</v>
      </c>
      <c r="E24" s="2837"/>
      <c r="F24" s="2837"/>
      <c r="G24" s="2838"/>
    </row>
    <row r="25" spans="3:7" ht="12.6" customHeight="1" thickBot="1" x14ac:dyDescent="0.3">
      <c r="C25" s="2839" t="s">
        <v>120</v>
      </c>
      <c r="D25" s="2840"/>
      <c r="E25" s="2840"/>
      <c r="F25" s="2840"/>
      <c r="G25" s="2841"/>
    </row>
    <row r="26" spans="3:7" ht="12.6" customHeight="1" x14ac:dyDescent="0.25">
      <c r="C26" s="1281"/>
      <c r="D26" s="1281">
        <v>2018</v>
      </c>
      <c r="E26" s="1281">
        <v>2019</v>
      </c>
      <c r="F26" s="1281">
        <v>2020</v>
      </c>
      <c r="G26" s="1281">
        <v>2021</v>
      </c>
    </row>
    <row r="27" spans="3:7" ht="12.6" customHeight="1" x14ac:dyDescent="0.25">
      <c r="C27" s="1264" t="s">
        <v>859</v>
      </c>
      <c r="D27" s="1265">
        <v>1.2519387353631636E-2</v>
      </c>
      <c r="E27" s="1265">
        <v>2.0861932095276037E-2</v>
      </c>
      <c r="F27" s="1266">
        <v>2.1519049249278624E-2</v>
      </c>
      <c r="G27" s="1266">
        <v>2.2653613420573621E-2</v>
      </c>
    </row>
    <row r="28" spans="3:7" ht="12.6" customHeight="1" x14ac:dyDescent="0.25">
      <c r="C28" s="1267" t="s">
        <v>687</v>
      </c>
      <c r="D28" s="1268">
        <v>2.9117331898140069E-4</v>
      </c>
      <c r="E28" s="1268">
        <v>4.672385970990181E-4</v>
      </c>
      <c r="F28" s="1269">
        <v>4.6983975794709923E-4</v>
      </c>
      <c r="G28" s="1269">
        <v>4.604008110604976E-4</v>
      </c>
    </row>
    <row r="29" spans="3:7" ht="12.6" customHeight="1" x14ac:dyDescent="0.25">
      <c r="C29" s="1264" t="s">
        <v>686</v>
      </c>
      <c r="D29" s="1265">
        <v>9.6650967974265143E-4</v>
      </c>
      <c r="E29" s="1265">
        <v>1.5659942440162788E-3</v>
      </c>
      <c r="F29" s="1266">
        <v>1.6006926633706949E-3</v>
      </c>
      <c r="G29" s="1266">
        <v>1.6103064086334356E-3</v>
      </c>
    </row>
    <row r="30" spans="3:7" ht="12.6" customHeight="1" x14ac:dyDescent="0.25">
      <c r="C30" s="1264" t="s">
        <v>858</v>
      </c>
      <c r="D30" s="1270">
        <v>480422</v>
      </c>
      <c r="E30" s="1270">
        <v>820000</v>
      </c>
      <c r="F30" s="1270">
        <v>880000</v>
      </c>
      <c r="G30" s="1270">
        <v>920960</v>
      </c>
    </row>
    <row r="31" spans="3:7" ht="12.6" customHeight="1" x14ac:dyDescent="0.25">
      <c r="C31" s="1264"/>
      <c r="D31" s="1270"/>
      <c r="E31" s="1270"/>
      <c r="F31" s="1270"/>
      <c r="G31" s="1270"/>
    </row>
    <row r="32" spans="3:7" ht="12.6" customHeight="1" x14ac:dyDescent="0.25">
      <c r="C32" s="1264"/>
      <c r="D32" s="1270"/>
      <c r="E32" s="1270"/>
      <c r="F32" s="1270"/>
      <c r="G32" s="1270"/>
    </row>
    <row r="33" spans="3:7" ht="12.6" customHeight="1" thickBot="1" x14ac:dyDescent="0.3">
      <c r="C33" s="1264"/>
      <c r="D33" s="1270"/>
      <c r="E33" s="1270"/>
      <c r="F33" s="1270"/>
      <c r="G33" s="1270"/>
    </row>
    <row r="34" spans="3:7" ht="32.450000000000003" customHeight="1" thickBot="1" x14ac:dyDescent="0.3">
      <c r="C34" s="1282" t="s">
        <v>10</v>
      </c>
      <c r="D34" s="2829" t="s">
        <v>857</v>
      </c>
      <c r="E34" s="2830"/>
      <c r="F34" s="2830"/>
      <c r="G34" s="2831"/>
    </row>
    <row r="35" spans="3:7" ht="12.6" customHeight="1" thickBot="1" x14ac:dyDescent="0.3">
      <c r="C35" s="1282" t="s">
        <v>13</v>
      </c>
      <c r="D35" s="2842" t="s">
        <v>856</v>
      </c>
      <c r="E35" s="2843"/>
      <c r="F35" s="2843"/>
      <c r="G35" s="2844"/>
    </row>
    <row r="36" spans="3:7" ht="12.6" customHeight="1" x14ac:dyDescent="0.25">
      <c r="C36" s="2834"/>
      <c r="D36" s="1283">
        <v>2018</v>
      </c>
      <c r="E36" s="1283">
        <v>2019</v>
      </c>
      <c r="F36" s="1283">
        <v>2020</v>
      </c>
      <c r="G36" s="1283">
        <v>2021</v>
      </c>
    </row>
    <row r="37" spans="3:7" ht="12.6" customHeight="1" thickBot="1" x14ac:dyDescent="0.3">
      <c r="C37" s="2835"/>
      <c r="D37" s="1284" t="s">
        <v>6</v>
      </c>
      <c r="E37" s="1284" t="s">
        <v>7</v>
      </c>
      <c r="F37" s="1284" t="s">
        <v>7</v>
      </c>
      <c r="G37" s="1284" t="s">
        <v>7</v>
      </c>
    </row>
    <row r="38" spans="3:7" ht="12.6" customHeight="1" thickBot="1" x14ac:dyDescent="0.3">
      <c r="C38" s="1282" t="s">
        <v>9</v>
      </c>
      <c r="D38" s="1285">
        <v>40</v>
      </c>
      <c r="E38" s="1285">
        <v>64</v>
      </c>
      <c r="F38" s="1285">
        <v>75</v>
      </c>
      <c r="G38" s="1285">
        <v>210</v>
      </c>
    </row>
    <row r="39" spans="3:7" ht="12.6" customHeight="1" thickBot="1" x14ac:dyDescent="0.3">
      <c r="C39" s="1282" t="s">
        <v>14</v>
      </c>
      <c r="D39" s="1286">
        <v>28300</v>
      </c>
      <c r="E39" s="1286">
        <v>49000</v>
      </c>
      <c r="F39" s="1286">
        <v>73800</v>
      </c>
      <c r="G39" s="1286">
        <v>231360</v>
      </c>
    </row>
    <row r="40" spans="3:7" ht="12.6" customHeight="1" thickBot="1" x14ac:dyDescent="0.3">
      <c r="C40" s="1282" t="s">
        <v>23</v>
      </c>
      <c r="D40" s="1287">
        <f>D39/D38</f>
        <v>707.5</v>
      </c>
      <c r="E40" s="1287">
        <f>E39/E38</f>
        <v>765.625</v>
      </c>
      <c r="F40" s="1287">
        <f>F39/F38</f>
        <v>984</v>
      </c>
      <c r="G40" s="1287">
        <f>G39/G38</f>
        <v>1101.7142857142858</v>
      </c>
    </row>
    <row r="41" spans="3:7" ht="12.6" customHeight="1" thickBot="1" x14ac:dyDescent="0.3">
      <c r="C41" s="1282" t="s">
        <v>15</v>
      </c>
      <c r="D41" s="1288"/>
      <c r="E41" s="1289">
        <f t="shared" ref="E41:G43" si="0">E38/D38-1</f>
        <v>0.60000000000000009</v>
      </c>
      <c r="F41" s="1289">
        <f t="shared" si="0"/>
        <v>0.171875</v>
      </c>
      <c r="G41" s="1289">
        <f t="shared" si="0"/>
        <v>1.7999999999999998</v>
      </c>
    </row>
    <row r="42" spans="3:7" ht="12.6" customHeight="1" thickBot="1" x14ac:dyDescent="0.3">
      <c r="C42" s="1282" t="s">
        <v>16</v>
      </c>
      <c r="D42" s="1288"/>
      <c r="E42" s="1289">
        <f t="shared" si="0"/>
        <v>0.73144876325088348</v>
      </c>
      <c r="F42" s="1289">
        <f t="shared" si="0"/>
        <v>0.50612244897959191</v>
      </c>
      <c r="G42" s="1289">
        <f t="shared" si="0"/>
        <v>2.1349593495934958</v>
      </c>
    </row>
    <row r="43" spans="3:7" ht="12.6" customHeight="1" thickBot="1" x14ac:dyDescent="0.3">
      <c r="C43" s="1282" t="s">
        <v>17</v>
      </c>
      <c r="D43" s="1288"/>
      <c r="E43" s="1289">
        <f t="shared" si="0"/>
        <v>8.2155477031802038E-2</v>
      </c>
      <c r="F43" s="1289">
        <f t="shared" si="0"/>
        <v>0.28522448979591841</v>
      </c>
      <c r="G43" s="1289">
        <f t="shared" si="0"/>
        <v>0.11962833914053439</v>
      </c>
    </row>
    <row r="44" spans="3:7" ht="12.6" customHeight="1" thickBot="1" x14ac:dyDescent="0.3">
      <c r="C44" s="1290" t="s">
        <v>990</v>
      </c>
      <c r="D44" s="1291"/>
      <c r="E44" s="1291"/>
      <c r="F44" s="1291"/>
      <c r="G44" s="1292"/>
    </row>
    <row r="45" spans="3:7" ht="12.6" customHeight="1" x14ac:dyDescent="0.25">
      <c r="C45" s="1293"/>
      <c r="D45" s="1262">
        <v>2018</v>
      </c>
      <c r="E45" s="1262">
        <v>2019</v>
      </c>
      <c r="F45" s="1262">
        <v>2020</v>
      </c>
      <c r="G45" s="1262">
        <v>2021</v>
      </c>
    </row>
    <row r="46" spans="3:7" ht="12.6" customHeight="1" thickBot="1" x14ac:dyDescent="0.3">
      <c r="C46" s="1282"/>
      <c r="D46" s="1263" t="s">
        <v>6</v>
      </c>
      <c r="E46" s="1263" t="s">
        <v>7</v>
      </c>
      <c r="F46" s="1263" t="s">
        <v>7</v>
      </c>
      <c r="G46" s="1263" t="s">
        <v>7</v>
      </c>
    </row>
    <row r="47" spans="3:7" ht="12.6" customHeight="1" thickBot="1" x14ac:dyDescent="0.3">
      <c r="C47" s="1294" t="s">
        <v>0</v>
      </c>
      <c r="D47" s="1295">
        <v>14850</v>
      </c>
      <c r="E47" s="1295">
        <v>14850</v>
      </c>
      <c r="F47" s="1295">
        <v>14850</v>
      </c>
      <c r="G47" s="1295">
        <v>14850</v>
      </c>
    </row>
    <row r="48" spans="3:7" ht="12.6" customHeight="1" thickBot="1" x14ac:dyDescent="0.3">
      <c r="C48" s="1294" t="s">
        <v>49</v>
      </c>
      <c r="D48" s="1295">
        <v>2650</v>
      </c>
      <c r="E48" s="1295">
        <v>2650</v>
      </c>
      <c r="F48" s="1295">
        <v>2650</v>
      </c>
      <c r="G48" s="1295">
        <v>2650</v>
      </c>
    </row>
    <row r="49" spans="3:7" ht="12.6" customHeight="1" thickBot="1" x14ac:dyDescent="0.3">
      <c r="C49" s="1294" t="s">
        <v>1</v>
      </c>
      <c r="D49" s="1296">
        <v>10800</v>
      </c>
      <c r="E49" s="1295">
        <v>3000</v>
      </c>
      <c r="F49" s="1295">
        <v>3500</v>
      </c>
      <c r="G49" s="1295">
        <v>3800</v>
      </c>
    </row>
    <row r="50" spans="3:7" ht="12.6" customHeight="1" thickBot="1" x14ac:dyDescent="0.3">
      <c r="C50" s="1294" t="s">
        <v>2</v>
      </c>
      <c r="D50" s="1296">
        <v>0</v>
      </c>
      <c r="E50" s="1295">
        <v>0</v>
      </c>
      <c r="F50" s="1295"/>
      <c r="G50" s="1295"/>
    </row>
    <row r="51" spans="3:7" ht="12.6" customHeight="1" thickBot="1" x14ac:dyDescent="0.3">
      <c r="C51" s="1294" t="s">
        <v>28</v>
      </c>
      <c r="D51" s="1296"/>
      <c r="E51" s="1296">
        <v>28500</v>
      </c>
      <c r="F51" s="1296">
        <v>52800</v>
      </c>
      <c r="G51" s="1296">
        <v>210060</v>
      </c>
    </row>
    <row r="52" spans="3:7" ht="12.6" customHeight="1" thickBot="1" x14ac:dyDescent="0.3">
      <c r="C52" s="1294" t="s">
        <v>30</v>
      </c>
      <c r="D52" s="1296">
        <v>0</v>
      </c>
      <c r="E52" s="1295"/>
      <c r="F52" s="1295"/>
      <c r="G52" s="1295"/>
    </row>
    <row r="53" spans="3:7" ht="12.6" customHeight="1" thickBot="1" x14ac:dyDescent="0.3">
      <c r="C53" s="1294" t="s">
        <v>3</v>
      </c>
      <c r="D53" s="1297"/>
      <c r="E53" s="1297"/>
      <c r="F53" s="1297"/>
      <c r="G53" s="1297"/>
    </row>
    <row r="54" spans="3:7" ht="12.6" customHeight="1" thickBot="1" x14ac:dyDescent="0.3">
      <c r="C54" s="1298" t="s">
        <v>764</v>
      </c>
      <c r="D54" s="1296">
        <f>SUM(D47:D53)</f>
        <v>28300</v>
      </c>
      <c r="E54" s="1296">
        <f>SUM(E47:E53)</f>
        <v>49000</v>
      </c>
      <c r="F54" s="1296">
        <f>SUM(F47:F53)</f>
        <v>73800</v>
      </c>
      <c r="G54" s="1296">
        <f>SUM(G47:G53)</f>
        <v>231360</v>
      </c>
    </row>
    <row r="55" spans="3:7" ht="12.6" customHeight="1" thickBot="1" x14ac:dyDescent="0.3">
      <c r="C55" s="1299" t="s">
        <v>70</v>
      </c>
      <c r="D55" s="1300">
        <f>D54-D39</f>
        <v>0</v>
      </c>
      <c r="E55" s="1300">
        <f>E54-E39</f>
        <v>0</v>
      </c>
      <c r="F55" s="1300">
        <f>F54-F39</f>
        <v>0</v>
      </c>
      <c r="G55" s="1300">
        <f>G54-G39</f>
        <v>0</v>
      </c>
    </row>
    <row r="56" spans="3:7" s="1279" customFormat="1" ht="36" customHeight="1" thickBot="1" x14ac:dyDescent="0.3">
      <c r="C56" s="1280" t="s">
        <v>22</v>
      </c>
      <c r="D56" s="2829" t="s">
        <v>855</v>
      </c>
      <c r="E56" s="2830"/>
      <c r="F56" s="2830"/>
      <c r="G56" s="2831"/>
    </row>
    <row r="57" spans="3:7" ht="12.6" customHeight="1" thickBot="1" x14ac:dyDescent="0.3">
      <c r="C57" s="2823" t="s">
        <v>495</v>
      </c>
      <c r="D57" s="2824"/>
      <c r="E57" s="2824"/>
      <c r="F57" s="2824"/>
      <c r="G57" s="2825"/>
    </row>
    <row r="58" spans="3:7" ht="12.6" customHeight="1" x14ac:dyDescent="0.25">
      <c r="C58" s="1281"/>
      <c r="D58" s="1301" t="s">
        <v>587</v>
      </c>
      <c r="E58" s="1301" t="s">
        <v>996</v>
      </c>
      <c r="F58" s="1301" t="s">
        <v>997</v>
      </c>
      <c r="G58" s="1301" t="s">
        <v>585</v>
      </c>
    </row>
    <row r="59" spans="3:7" ht="17.45" customHeight="1" thickBot="1" x14ac:dyDescent="0.3">
      <c r="C59" s="1302" t="s">
        <v>854</v>
      </c>
      <c r="D59" s="1303">
        <v>3000</v>
      </c>
      <c r="E59" s="1303">
        <v>3200</v>
      </c>
      <c r="F59" s="1303">
        <v>3400</v>
      </c>
      <c r="G59" s="1303">
        <v>3600</v>
      </c>
    </row>
    <row r="60" spans="3:7" ht="12.6" customHeight="1" thickBot="1" x14ac:dyDescent="0.3">
      <c r="C60" s="1302" t="s">
        <v>810</v>
      </c>
      <c r="D60" s="1303">
        <v>34208</v>
      </c>
      <c r="E60" s="1303">
        <v>32100</v>
      </c>
      <c r="F60" s="1303">
        <v>31000</v>
      </c>
      <c r="G60" s="1303">
        <v>30000</v>
      </c>
    </row>
    <row r="61" spans="3:7" ht="12.6" customHeight="1" thickBot="1" x14ac:dyDescent="0.3">
      <c r="C61" s="1302" t="s">
        <v>809</v>
      </c>
      <c r="D61" s="1303">
        <v>107555</v>
      </c>
      <c r="E61" s="1303">
        <v>103400</v>
      </c>
      <c r="F61" s="1303">
        <v>100200</v>
      </c>
      <c r="G61" s="1303">
        <v>97100</v>
      </c>
    </row>
    <row r="62" spans="3:7" ht="12.6" customHeight="1" thickBot="1" x14ac:dyDescent="0.3">
      <c r="C62" s="1302" t="s">
        <v>995</v>
      </c>
      <c r="D62" s="1304" t="e">
        <f>D69/D61</f>
        <v>#VALUE!</v>
      </c>
      <c r="E62" s="1304">
        <f>E69/E61</f>
        <v>0</v>
      </c>
      <c r="F62" s="1304">
        <f>F69/F61</f>
        <v>0</v>
      </c>
      <c r="G62" s="1304">
        <f>G69/G61</f>
        <v>0</v>
      </c>
    </row>
    <row r="63" spans="3:7" ht="12.6" customHeight="1" thickBot="1" x14ac:dyDescent="0.3">
      <c r="C63" s="1302" t="s">
        <v>966</v>
      </c>
      <c r="D63" s="1303">
        <v>3600</v>
      </c>
      <c r="E63" s="1303">
        <v>3700</v>
      </c>
      <c r="F63" s="1303">
        <v>3800</v>
      </c>
      <c r="G63" s="1303">
        <v>3900</v>
      </c>
    </row>
    <row r="64" spans="3:7" ht="12.6" customHeight="1" thickBot="1" x14ac:dyDescent="0.3">
      <c r="C64" s="1302" t="s">
        <v>806</v>
      </c>
      <c r="D64" s="1303">
        <v>4680</v>
      </c>
      <c r="E64" s="1303">
        <v>4810</v>
      </c>
      <c r="F64" s="1303">
        <v>4940</v>
      </c>
      <c r="G64" s="1303">
        <v>5070</v>
      </c>
    </row>
    <row r="65" spans="3:7" ht="12" customHeight="1" thickBot="1" x14ac:dyDescent="0.3">
      <c r="C65" s="1397" t="s">
        <v>1003</v>
      </c>
      <c r="D65" s="1303" t="s">
        <v>1004</v>
      </c>
      <c r="E65" s="1303" t="s">
        <v>1004</v>
      </c>
      <c r="F65" s="1303" t="s">
        <v>1004</v>
      </c>
      <c r="G65" s="1303" t="s">
        <v>1004</v>
      </c>
    </row>
    <row r="66" spans="3:7" ht="12.6" customHeight="1" thickBot="1" x14ac:dyDescent="0.3">
      <c r="C66" s="1397" t="s">
        <v>1005</v>
      </c>
      <c r="D66" s="1303" t="s">
        <v>1004</v>
      </c>
      <c r="E66" s="1303" t="s">
        <v>1004</v>
      </c>
      <c r="F66" s="1303" t="s">
        <v>1004</v>
      </c>
      <c r="G66" s="1303" t="s">
        <v>1004</v>
      </c>
    </row>
    <row r="67" spans="3:7" ht="12.6" customHeight="1" thickBot="1" x14ac:dyDescent="0.3">
      <c r="C67" s="2845" t="s">
        <v>67</v>
      </c>
      <c r="D67" s="2846"/>
      <c r="E67" s="2846"/>
      <c r="F67" s="2846"/>
      <c r="G67" s="2847"/>
    </row>
    <row r="68" spans="3:7" ht="12.6" customHeight="1" thickBot="1" x14ac:dyDescent="0.3">
      <c r="C68" s="2826" t="s">
        <v>121</v>
      </c>
      <c r="D68" s="2827"/>
      <c r="E68" s="2827"/>
      <c r="F68" s="2827"/>
      <c r="G68" s="2828"/>
    </row>
    <row r="69" spans="3:7" ht="25.15" customHeight="1" thickBot="1" x14ac:dyDescent="0.3">
      <c r="C69" s="1305" t="s">
        <v>669</v>
      </c>
      <c r="D69" s="2829" t="s">
        <v>829</v>
      </c>
      <c r="E69" s="2830"/>
      <c r="F69" s="2830"/>
      <c r="G69" s="2831"/>
    </row>
    <row r="70" spans="3:7" ht="20.45" customHeight="1" thickBot="1" x14ac:dyDescent="0.3">
      <c r="C70" s="1282" t="s">
        <v>10</v>
      </c>
      <c r="D70" s="2829" t="s">
        <v>829</v>
      </c>
      <c r="E70" s="2830"/>
      <c r="F70" s="2830"/>
      <c r="G70" s="2831"/>
    </row>
    <row r="71" spans="3:7" ht="12.6" customHeight="1" thickBot="1" x14ac:dyDescent="0.3">
      <c r="C71" s="1282" t="s">
        <v>13</v>
      </c>
      <c r="D71" s="2848" t="s">
        <v>853</v>
      </c>
      <c r="E71" s="2849"/>
      <c r="F71" s="2849"/>
      <c r="G71" s="2850"/>
    </row>
    <row r="72" spans="3:7" ht="12.6" customHeight="1" x14ac:dyDescent="0.25">
      <c r="C72" s="2834"/>
      <c r="D72" s="1283">
        <v>2018</v>
      </c>
      <c r="E72" s="1283">
        <v>2019</v>
      </c>
      <c r="F72" s="1283">
        <v>2020</v>
      </c>
      <c r="G72" s="1283">
        <v>2021</v>
      </c>
    </row>
    <row r="73" spans="3:7" ht="12.6" customHeight="1" thickBot="1" x14ac:dyDescent="0.3">
      <c r="C73" s="2851"/>
      <c r="D73" s="1283" t="s">
        <v>6</v>
      </c>
      <c r="E73" s="1283" t="s">
        <v>7</v>
      </c>
      <c r="F73" s="1283" t="s">
        <v>7</v>
      </c>
      <c r="G73" s="1283" t="s">
        <v>7</v>
      </c>
    </row>
    <row r="74" spans="3:7" ht="12.6" customHeight="1" thickBot="1" x14ac:dyDescent="0.3">
      <c r="C74" s="1306" t="s">
        <v>9</v>
      </c>
      <c r="D74" s="1307">
        <v>20</v>
      </c>
      <c r="E74" s="1308">
        <v>12</v>
      </c>
      <c r="F74" s="1308">
        <v>15</v>
      </c>
      <c r="G74" s="1309">
        <v>20</v>
      </c>
    </row>
    <row r="75" spans="3:7" ht="12.6" customHeight="1" thickBot="1" x14ac:dyDescent="0.3">
      <c r="C75" s="1310" t="s">
        <v>14</v>
      </c>
      <c r="D75" s="1311">
        <v>17200</v>
      </c>
      <c r="E75" s="1312">
        <v>10000</v>
      </c>
      <c r="F75" s="1312">
        <v>15000</v>
      </c>
      <c r="G75" s="1313">
        <v>24000</v>
      </c>
    </row>
    <row r="76" spans="3:7" ht="12.6" customHeight="1" thickBot="1" x14ac:dyDescent="0.3">
      <c r="C76" s="1310" t="s">
        <v>23</v>
      </c>
      <c r="D76" s="1287">
        <f>D75/D74</f>
        <v>860</v>
      </c>
      <c r="E76" s="1287">
        <f>E75/E74</f>
        <v>833.33333333333337</v>
      </c>
      <c r="F76" s="1287">
        <f>F75/F74</f>
        <v>1000</v>
      </c>
      <c r="G76" s="1287">
        <f>G75/G74</f>
        <v>1200</v>
      </c>
    </row>
    <row r="77" spans="3:7" ht="12.6" customHeight="1" thickBot="1" x14ac:dyDescent="0.3">
      <c r="C77" s="1310" t="s">
        <v>15</v>
      </c>
      <c r="D77" s="1288"/>
      <c r="E77" s="1289">
        <f t="shared" ref="E77:G79" si="1">E74/D74-1</f>
        <v>-0.4</v>
      </c>
      <c r="F77" s="1289">
        <f t="shared" si="1"/>
        <v>0.25</v>
      </c>
      <c r="G77" s="1314">
        <f t="shared" si="1"/>
        <v>0.33333333333333326</v>
      </c>
    </row>
    <row r="78" spans="3:7" ht="12.6" customHeight="1" thickBot="1" x14ac:dyDescent="0.3">
      <c r="C78" s="1310" t="s">
        <v>16</v>
      </c>
      <c r="D78" s="1288"/>
      <c r="E78" s="1289">
        <f t="shared" si="1"/>
        <v>-0.41860465116279066</v>
      </c>
      <c r="F78" s="1289">
        <f t="shared" si="1"/>
        <v>0.5</v>
      </c>
      <c r="G78" s="1314">
        <f t="shared" si="1"/>
        <v>0.60000000000000009</v>
      </c>
    </row>
    <row r="79" spans="3:7" ht="12.6" customHeight="1" thickBot="1" x14ac:dyDescent="0.3">
      <c r="C79" s="1315" t="s">
        <v>17</v>
      </c>
      <c r="D79" s="1316"/>
      <c r="E79" s="1317">
        <f t="shared" si="1"/>
        <v>-3.100775193798444E-2</v>
      </c>
      <c r="F79" s="1317">
        <f t="shared" si="1"/>
        <v>0.19999999999999996</v>
      </c>
      <c r="G79" s="1318">
        <f t="shared" si="1"/>
        <v>0.19999999999999996</v>
      </c>
    </row>
    <row r="80" spans="3:7" ht="12.6" customHeight="1" thickBot="1" x14ac:dyDescent="0.3">
      <c r="C80" s="1319" t="s">
        <v>991</v>
      </c>
      <c r="D80" s="1320"/>
      <c r="E80" s="1320"/>
      <c r="F80" s="1320"/>
      <c r="G80" s="1321"/>
    </row>
    <row r="81" spans="3:7" ht="12.6" customHeight="1" x14ac:dyDescent="0.25">
      <c r="C81" s="1293"/>
      <c r="D81" s="1283">
        <v>2018</v>
      </c>
      <c r="E81" s="1283">
        <v>2019</v>
      </c>
      <c r="F81" s="1283">
        <v>2020</v>
      </c>
      <c r="G81" s="1283">
        <v>2021</v>
      </c>
    </row>
    <row r="82" spans="3:7" ht="12.6" customHeight="1" thickBot="1" x14ac:dyDescent="0.3">
      <c r="C82" s="1282"/>
      <c r="D82" s="1284" t="s">
        <v>6</v>
      </c>
      <c r="E82" s="1284" t="s">
        <v>7</v>
      </c>
      <c r="F82" s="1284" t="s">
        <v>7</v>
      </c>
      <c r="G82" s="1284" t="s">
        <v>7</v>
      </c>
    </row>
    <row r="83" spans="3:7" ht="12.6" customHeight="1" thickBot="1" x14ac:dyDescent="0.3">
      <c r="C83" s="1294" t="s">
        <v>0</v>
      </c>
      <c r="D83" s="1295">
        <v>0</v>
      </c>
      <c r="E83" s="1295"/>
      <c r="F83" s="1295"/>
      <c r="G83" s="1295"/>
    </row>
    <row r="84" spans="3:7" ht="12.6" customHeight="1" thickBot="1" x14ac:dyDescent="0.3">
      <c r="C84" s="1294" t="s">
        <v>49</v>
      </c>
      <c r="D84" s="1295">
        <v>0</v>
      </c>
      <c r="E84" s="1295"/>
      <c r="F84" s="1295"/>
      <c r="G84" s="1295"/>
    </row>
    <row r="85" spans="3:7" ht="12.6" customHeight="1" thickBot="1" x14ac:dyDescent="0.3">
      <c r="C85" s="1294" t="s">
        <v>1</v>
      </c>
      <c r="D85" s="1296">
        <v>0</v>
      </c>
      <c r="E85" s="1295"/>
      <c r="F85" s="1295"/>
      <c r="G85" s="1295"/>
    </row>
    <row r="86" spans="3:7" ht="12.6" customHeight="1" thickBot="1" x14ac:dyDescent="0.3">
      <c r="C86" s="1294" t="s">
        <v>2</v>
      </c>
      <c r="D86" s="1296">
        <v>0</v>
      </c>
      <c r="E86" s="1295"/>
      <c r="F86" s="1295"/>
      <c r="G86" s="1295"/>
    </row>
    <row r="87" spans="3:7" ht="12.6" customHeight="1" thickBot="1" x14ac:dyDescent="0.3">
      <c r="C87" s="1294" t="s">
        <v>28</v>
      </c>
      <c r="D87" s="1296">
        <f>D75</f>
        <v>17200</v>
      </c>
      <c r="E87" s="1296">
        <f>E75</f>
        <v>10000</v>
      </c>
      <c r="F87" s="1296">
        <f>F75</f>
        <v>15000</v>
      </c>
      <c r="G87" s="1296">
        <f>G75</f>
        <v>24000</v>
      </c>
    </row>
    <row r="88" spans="3:7" ht="12.6" customHeight="1" thickBot="1" x14ac:dyDescent="0.3">
      <c r="C88" s="1294" t="s">
        <v>30</v>
      </c>
      <c r="D88" s="1296">
        <v>0</v>
      </c>
      <c r="E88" s="1295"/>
      <c r="F88" s="1295"/>
      <c r="G88" s="1295"/>
    </row>
    <row r="89" spans="3:7" ht="12.6" customHeight="1" thickBot="1" x14ac:dyDescent="0.3">
      <c r="C89" s="1294" t="s">
        <v>3</v>
      </c>
      <c r="D89" s="1297"/>
      <c r="E89" s="1297"/>
      <c r="F89" s="1297"/>
      <c r="G89" s="1297"/>
    </row>
    <row r="90" spans="3:7" ht="12.6" customHeight="1" thickBot="1" x14ac:dyDescent="0.3">
      <c r="C90" s="1298" t="s">
        <v>68</v>
      </c>
      <c r="D90" s="1296">
        <f>SUM(D83:D89)</f>
        <v>17200</v>
      </c>
      <c r="E90" s="1296">
        <f>SUM(E83:E89)</f>
        <v>10000</v>
      </c>
      <c r="F90" s="1296">
        <f>SUM(F83:F89)</f>
        <v>15000</v>
      </c>
      <c r="G90" s="1296">
        <f>SUM(G83:G89)</f>
        <v>24000</v>
      </c>
    </row>
    <row r="91" spans="3:7" ht="12.6" customHeight="1" thickBot="1" x14ac:dyDescent="0.3">
      <c r="C91" s="1299" t="s">
        <v>70</v>
      </c>
      <c r="D91" s="1300">
        <f>D90-D75</f>
        <v>0</v>
      </c>
      <c r="E91" s="1300">
        <f>E90-E75</f>
        <v>0</v>
      </c>
      <c r="F91" s="1300">
        <f>F90-F75</f>
        <v>0</v>
      </c>
      <c r="G91" s="1300">
        <f>G90-G75</f>
        <v>0</v>
      </c>
    </row>
    <row r="92" spans="3:7" s="1279" customFormat="1" ht="45.6" customHeight="1" thickBot="1" x14ac:dyDescent="0.3">
      <c r="C92" s="1280" t="s">
        <v>497</v>
      </c>
      <c r="D92" s="2829" t="s">
        <v>1000</v>
      </c>
      <c r="E92" s="2830"/>
      <c r="F92" s="2830"/>
      <c r="G92" s="2831"/>
    </row>
    <row r="93" spans="3:7" ht="12.6" customHeight="1" thickBot="1" x14ac:dyDescent="0.3">
      <c r="C93" s="2823" t="s">
        <v>506</v>
      </c>
      <c r="D93" s="2824"/>
      <c r="E93" s="2824"/>
      <c r="F93" s="2824"/>
      <c r="G93" s="2825"/>
    </row>
    <row r="94" spans="3:7" ht="12.6" customHeight="1" x14ac:dyDescent="0.25">
      <c r="C94" s="1281"/>
      <c r="D94" s="1281">
        <v>2018</v>
      </c>
      <c r="E94" s="1281">
        <v>2019</v>
      </c>
      <c r="F94" s="1281">
        <v>2020</v>
      </c>
      <c r="G94" s="1281">
        <v>2021</v>
      </c>
    </row>
    <row r="95" spans="3:7" ht="12.6" customHeight="1" thickBot="1" x14ac:dyDescent="0.3">
      <c r="C95" s="1328" t="s">
        <v>1008</v>
      </c>
      <c r="D95" s="1329"/>
      <c r="E95" s="1329"/>
      <c r="F95" s="1329"/>
      <c r="G95" s="1329"/>
    </row>
    <row r="96" spans="3:7" ht="12.6" customHeight="1" thickBot="1" x14ac:dyDescent="0.3">
      <c r="C96" s="1383" t="s">
        <v>1006</v>
      </c>
      <c r="D96" s="1329"/>
      <c r="E96" s="1329"/>
      <c r="F96" s="1329"/>
      <c r="G96" s="1329"/>
    </row>
    <row r="97" spans="3:10" ht="12.6" customHeight="1" thickBot="1" x14ac:dyDescent="0.3">
      <c r="C97" s="1383"/>
      <c r="D97" s="1329"/>
      <c r="E97" s="1329"/>
      <c r="F97" s="1329"/>
      <c r="G97" s="1329"/>
    </row>
    <row r="98" spans="3:10" ht="12.6" customHeight="1" thickBot="1" x14ac:dyDescent="0.3">
      <c r="C98" s="1383"/>
      <c r="D98" s="1329"/>
      <c r="E98" s="1329"/>
      <c r="F98" s="1329"/>
      <c r="G98" s="1329"/>
    </row>
    <row r="99" spans="3:10" ht="12.6" customHeight="1" thickBot="1" x14ac:dyDescent="0.3">
      <c r="C99" s="2845" t="s">
        <v>536</v>
      </c>
      <c r="D99" s="2846"/>
      <c r="E99" s="2846"/>
      <c r="F99" s="2846"/>
      <c r="G99" s="2847"/>
    </row>
    <row r="100" spans="3:10" ht="12.6" customHeight="1" thickBot="1" x14ac:dyDescent="0.3">
      <c r="C100" s="2826" t="s">
        <v>788</v>
      </c>
      <c r="D100" s="2827"/>
      <c r="E100" s="2827"/>
      <c r="F100" s="2827"/>
      <c r="G100" s="2828"/>
    </row>
    <row r="101" spans="3:10" ht="12.6" customHeight="1" thickBot="1" x14ac:dyDescent="0.3">
      <c r="C101" s="1322" t="s">
        <v>659</v>
      </c>
      <c r="D101" s="2829" t="s">
        <v>1007</v>
      </c>
      <c r="E101" s="2830"/>
      <c r="F101" s="2830"/>
      <c r="G101" s="2831"/>
    </row>
    <row r="102" spans="3:10" ht="66" customHeight="1" thickBot="1" x14ac:dyDescent="0.3">
      <c r="C102" s="1323" t="s">
        <v>10</v>
      </c>
      <c r="D102" s="2829" t="s">
        <v>1001</v>
      </c>
      <c r="E102" s="2830"/>
      <c r="F102" s="2830"/>
      <c r="G102" s="2831"/>
    </row>
    <row r="103" spans="3:10" ht="12.6" customHeight="1" thickBot="1" x14ac:dyDescent="0.3">
      <c r="C103" s="1282" t="s">
        <v>13</v>
      </c>
      <c r="D103" s="2819" t="s">
        <v>785</v>
      </c>
      <c r="E103" s="2852"/>
      <c r="F103" s="2852"/>
      <c r="G103" s="2853"/>
    </row>
    <row r="104" spans="3:10" ht="12.6" customHeight="1" x14ac:dyDescent="0.25">
      <c r="C104" s="2834"/>
      <c r="D104" s="1262">
        <v>2018</v>
      </c>
      <c r="E104" s="1262">
        <v>2019</v>
      </c>
      <c r="F104" s="1262">
        <v>2020</v>
      </c>
      <c r="G104" s="1262">
        <v>2021</v>
      </c>
    </row>
    <row r="105" spans="3:10" ht="12.6" customHeight="1" thickBot="1" x14ac:dyDescent="0.3">
      <c r="C105" s="2835"/>
      <c r="D105" s="1263" t="s">
        <v>6</v>
      </c>
      <c r="E105" s="1263" t="s">
        <v>7</v>
      </c>
      <c r="F105" s="1263" t="s">
        <v>7</v>
      </c>
      <c r="G105" s="1263" t="s">
        <v>7</v>
      </c>
    </row>
    <row r="106" spans="3:10" ht="12.6" customHeight="1" thickBot="1" x14ac:dyDescent="0.3">
      <c r="C106" s="1282" t="s">
        <v>9</v>
      </c>
      <c r="D106" s="1285">
        <v>10</v>
      </c>
      <c r="E106" s="1324">
        <v>80</v>
      </c>
      <c r="F106" s="1324">
        <v>90</v>
      </c>
      <c r="G106" s="1324">
        <v>100</v>
      </c>
    </row>
    <row r="107" spans="3:10" ht="12.6" customHeight="1" thickBot="1" x14ac:dyDescent="0.3">
      <c r="C107" s="1282" t="s">
        <v>14</v>
      </c>
      <c r="D107" s="1382">
        <v>62122</v>
      </c>
      <c r="E107" s="1312">
        <f>370000+300000</f>
        <v>670000</v>
      </c>
      <c r="F107" s="1312">
        <f>400000+400000</f>
        <v>800000</v>
      </c>
      <c r="G107" s="1312">
        <f>400000+600000</f>
        <v>1000000</v>
      </c>
      <c r="H107" s="1381">
        <v>300000</v>
      </c>
      <c r="I107" s="1381">
        <v>400000</v>
      </c>
      <c r="J107" s="1381">
        <v>600000</v>
      </c>
    </row>
    <row r="108" spans="3:10" ht="12.6" customHeight="1" thickBot="1" x14ac:dyDescent="0.3">
      <c r="C108" s="1282" t="s">
        <v>23</v>
      </c>
      <c r="D108" s="1287">
        <f>D107/D106</f>
        <v>6212.2</v>
      </c>
      <c r="E108" s="1287">
        <f>E107/E106</f>
        <v>8375</v>
      </c>
      <c r="F108" s="1287">
        <f>F107/F106</f>
        <v>8888.8888888888887</v>
      </c>
      <c r="G108" s="1287">
        <f>G107/G106</f>
        <v>10000</v>
      </c>
    </row>
    <row r="109" spans="3:10" ht="12.6" customHeight="1" thickBot="1" x14ac:dyDescent="0.3">
      <c r="C109" s="1282" t="s">
        <v>15</v>
      </c>
      <c r="D109" s="1327"/>
      <c r="E109" s="1327">
        <f t="shared" ref="E109:G111" si="2">E106/D106-1</f>
        <v>7</v>
      </c>
      <c r="F109" s="1327">
        <f t="shared" si="2"/>
        <v>0.125</v>
      </c>
      <c r="G109" s="1327">
        <f t="shared" si="2"/>
        <v>0.11111111111111116</v>
      </c>
    </row>
    <row r="110" spans="3:10" ht="12.6" customHeight="1" thickBot="1" x14ac:dyDescent="0.3">
      <c r="C110" s="1282" t="s">
        <v>16</v>
      </c>
      <c r="D110" s="1327"/>
      <c r="E110" s="1327">
        <f t="shared" si="2"/>
        <v>9.7852290653874636</v>
      </c>
      <c r="F110" s="1327">
        <f t="shared" si="2"/>
        <v>0.19402985074626855</v>
      </c>
      <c r="G110" s="1327">
        <f t="shared" si="2"/>
        <v>0.25</v>
      </c>
    </row>
    <row r="111" spans="3:10" ht="12.6" customHeight="1" thickBot="1" x14ac:dyDescent="0.3">
      <c r="C111" s="1282" t="s">
        <v>17</v>
      </c>
      <c r="D111" s="1327"/>
      <c r="E111" s="1327">
        <f t="shared" si="2"/>
        <v>0.34815363317343295</v>
      </c>
      <c r="F111" s="1327">
        <f t="shared" si="2"/>
        <v>6.1359867330016638E-2</v>
      </c>
      <c r="G111" s="1327">
        <f t="shared" si="2"/>
        <v>0.125</v>
      </c>
    </row>
    <row r="112" spans="3:10" ht="16.149999999999999" customHeight="1" thickBot="1" x14ac:dyDescent="0.3">
      <c r="C112" s="2854" t="s">
        <v>991</v>
      </c>
      <c r="D112" s="2855"/>
      <c r="E112" s="2855"/>
      <c r="F112" s="2855"/>
      <c r="G112" s="2856"/>
    </row>
    <row r="113" spans="3:7" ht="12.6" customHeight="1" x14ac:dyDescent="0.25">
      <c r="C113" s="2834"/>
      <c r="D113" s="1262">
        <v>2018</v>
      </c>
      <c r="E113" s="1262">
        <v>2019</v>
      </c>
      <c r="F113" s="1262">
        <v>2020</v>
      </c>
      <c r="G113" s="1262">
        <v>2021</v>
      </c>
    </row>
    <row r="114" spans="3:7" ht="12.6" customHeight="1" thickBot="1" x14ac:dyDescent="0.3">
      <c r="C114" s="2835"/>
      <c r="D114" s="1263" t="s">
        <v>6</v>
      </c>
      <c r="E114" s="1263" t="s">
        <v>7</v>
      </c>
      <c r="F114" s="1263" t="s">
        <v>7</v>
      </c>
      <c r="G114" s="1263" t="s">
        <v>7</v>
      </c>
    </row>
    <row r="115" spans="3:7" ht="12.6" customHeight="1" thickBot="1" x14ac:dyDescent="0.3">
      <c r="C115" s="1294" t="s">
        <v>104</v>
      </c>
      <c r="D115" s="1295"/>
      <c r="E115" s="1295"/>
      <c r="F115" s="1295"/>
      <c r="G115" s="1295"/>
    </row>
    <row r="116" spans="3:7" ht="12.6" customHeight="1" thickBot="1" x14ac:dyDescent="0.3">
      <c r="C116" s="1294" t="s">
        <v>105</v>
      </c>
      <c r="D116" s="1287">
        <f>D107</f>
        <v>62122</v>
      </c>
      <c r="E116" s="1287">
        <f>E107</f>
        <v>670000</v>
      </c>
      <c r="F116" s="1287">
        <f>F107</f>
        <v>800000</v>
      </c>
      <c r="G116" s="1287">
        <f>G107</f>
        <v>1000000</v>
      </c>
    </row>
    <row r="117" spans="3:7" ht="12.6" customHeight="1" x14ac:dyDescent="0.25">
      <c r="C117" s="1298" t="s">
        <v>68</v>
      </c>
      <c r="D117" s="1287">
        <f>D116+D115</f>
        <v>62122</v>
      </c>
      <c r="E117" s="1287">
        <f>E116+E115</f>
        <v>670000</v>
      </c>
      <c r="F117" s="1287">
        <f>F116+F115</f>
        <v>800000</v>
      </c>
      <c r="G117" s="1287">
        <f>G116+G115</f>
        <v>1000000</v>
      </c>
    </row>
    <row r="118" spans="3:7" ht="12.6" customHeight="1" thickBot="1" x14ac:dyDescent="0.3">
      <c r="C118" s="1299" t="s">
        <v>70</v>
      </c>
      <c r="D118" s="1300">
        <f>D117-D107</f>
        <v>0</v>
      </c>
      <c r="E118" s="1300">
        <f>E117-E107</f>
        <v>0</v>
      </c>
      <c r="F118" s="1300">
        <f>F117-F107</f>
        <v>0</v>
      </c>
      <c r="G118" s="1300">
        <f>G117-G107</f>
        <v>0</v>
      </c>
    </row>
    <row r="119" spans="3:7" ht="15" customHeight="1" thickBot="1" x14ac:dyDescent="0.3">
      <c r="C119" s="1305" t="s">
        <v>848</v>
      </c>
      <c r="D119" s="2829" t="s">
        <v>847</v>
      </c>
      <c r="E119" s="2830"/>
      <c r="F119" s="2830"/>
      <c r="G119" s="2831"/>
    </row>
    <row r="120" spans="3:7" ht="19.899999999999999" customHeight="1" thickBot="1" x14ac:dyDescent="0.3">
      <c r="C120" s="1282" t="s">
        <v>10</v>
      </c>
      <c r="D120" s="2829" t="s">
        <v>847</v>
      </c>
      <c r="E120" s="2830"/>
      <c r="F120" s="2830"/>
      <c r="G120" s="2831"/>
    </row>
    <row r="121" spans="3:7" ht="12.6" customHeight="1" thickBot="1" x14ac:dyDescent="0.3">
      <c r="C121" s="1282" t="s">
        <v>13</v>
      </c>
      <c r="D121" s="2857" t="s">
        <v>846</v>
      </c>
      <c r="E121" s="2832"/>
      <c r="F121" s="2832"/>
      <c r="G121" s="2833"/>
    </row>
    <row r="122" spans="3:7" ht="12.6" customHeight="1" x14ac:dyDescent="0.25">
      <c r="C122" s="2834"/>
      <c r="D122" s="1283">
        <v>2018</v>
      </c>
      <c r="E122" s="1283">
        <v>2019</v>
      </c>
      <c r="F122" s="1283">
        <v>2020</v>
      </c>
      <c r="G122" s="1283">
        <v>2021</v>
      </c>
    </row>
    <row r="123" spans="3:7" ht="12.6" customHeight="1" thickBot="1" x14ac:dyDescent="0.3">
      <c r="C123" s="2835"/>
      <c r="D123" s="1284" t="s">
        <v>6</v>
      </c>
      <c r="E123" s="1284" t="s">
        <v>7</v>
      </c>
      <c r="F123" s="1284" t="s">
        <v>7</v>
      </c>
      <c r="G123" s="1284" t="s">
        <v>7</v>
      </c>
    </row>
    <row r="124" spans="3:7" ht="12.6" customHeight="1" thickBot="1" x14ac:dyDescent="0.3">
      <c r="C124" s="1282" t="s">
        <v>9</v>
      </c>
      <c r="D124" s="1285">
        <v>4</v>
      </c>
      <c r="E124" s="1324">
        <v>5</v>
      </c>
      <c r="F124" s="1324">
        <v>6</v>
      </c>
      <c r="G124" s="1324">
        <v>8</v>
      </c>
    </row>
    <row r="125" spans="3:7" ht="12.6" customHeight="1" thickBot="1" x14ac:dyDescent="0.3">
      <c r="C125" s="1282" t="s">
        <v>14</v>
      </c>
      <c r="D125" s="1326">
        <v>800</v>
      </c>
      <c r="E125" s="1325">
        <v>1000</v>
      </c>
      <c r="F125" s="1325">
        <v>1200</v>
      </c>
      <c r="G125" s="1325">
        <v>1600</v>
      </c>
    </row>
    <row r="126" spans="3:7" ht="12.6" customHeight="1" thickBot="1" x14ac:dyDescent="0.3">
      <c r="C126" s="1282" t="s">
        <v>23</v>
      </c>
      <c r="D126" s="1326">
        <v>200</v>
      </c>
      <c r="E126" s="1325">
        <v>200</v>
      </c>
      <c r="F126" s="1325">
        <v>200</v>
      </c>
      <c r="G126" s="1325">
        <v>200</v>
      </c>
    </row>
    <row r="127" spans="3:7" ht="12.6" customHeight="1" thickBot="1" x14ac:dyDescent="0.3">
      <c r="C127" s="1282" t="s">
        <v>15</v>
      </c>
      <c r="D127" s="1327"/>
      <c r="E127" s="1327">
        <f t="shared" ref="E127:G129" si="3">E124/D124-1</f>
        <v>0.25</v>
      </c>
      <c r="F127" s="1327">
        <f t="shared" si="3"/>
        <v>0.19999999999999996</v>
      </c>
      <c r="G127" s="1327">
        <f t="shared" si="3"/>
        <v>0.33333333333333326</v>
      </c>
    </row>
    <row r="128" spans="3:7" ht="12.6" customHeight="1" thickBot="1" x14ac:dyDescent="0.3">
      <c r="C128" s="1282" t="s">
        <v>16</v>
      </c>
      <c r="D128" s="1327"/>
      <c r="E128" s="1327">
        <f t="shared" si="3"/>
        <v>0.25</v>
      </c>
      <c r="F128" s="1327">
        <f t="shared" si="3"/>
        <v>0.19999999999999996</v>
      </c>
      <c r="G128" s="1327">
        <f t="shared" si="3"/>
        <v>0.33333333333333326</v>
      </c>
    </row>
    <row r="129" spans="3:7" ht="12.6" customHeight="1" thickBot="1" x14ac:dyDescent="0.3">
      <c r="C129" s="1282" t="s">
        <v>17</v>
      </c>
      <c r="D129" s="1327"/>
      <c r="E129" s="1327">
        <f t="shared" si="3"/>
        <v>0</v>
      </c>
      <c r="F129" s="1327">
        <f t="shared" si="3"/>
        <v>0</v>
      </c>
      <c r="G129" s="1327">
        <f t="shared" si="3"/>
        <v>0</v>
      </c>
    </row>
    <row r="130" spans="3:7" ht="12.6" customHeight="1" thickBot="1" x14ac:dyDescent="0.3">
      <c r="C130" s="2854" t="s">
        <v>992</v>
      </c>
      <c r="D130" s="2855"/>
      <c r="E130" s="2855"/>
      <c r="F130" s="2855"/>
      <c r="G130" s="2856"/>
    </row>
    <row r="131" spans="3:7" ht="12.6" customHeight="1" x14ac:dyDescent="0.25">
      <c r="C131" s="2834"/>
      <c r="D131" s="1262">
        <v>2018</v>
      </c>
      <c r="E131" s="1262">
        <v>2019</v>
      </c>
      <c r="F131" s="1262">
        <v>2020</v>
      </c>
      <c r="G131" s="1262">
        <v>2021</v>
      </c>
    </row>
    <row r="132" spans="3:7" ht="12.6" customHeight="1" thickBot="1" x14ac:dyDescent="0.3">
      <c r="C132" s="2835"/>
      <c r="D132" s="1263" t="s">
        <v>6</v>
      </c>
      <c r="E132" s="1263" t="s">
        <v>7</v>
      </c>
      <c r="F132" s="1263" t="s">
        <v>7</v>
      </c>
      <c r="G132" s="1263" t="s">
        <v>7</v>
      </c>
    </row>
    <row r="133" spans="3:7" ht="12.6" customHeight="1" thickBot="1" x14ac:dyDescent="0.3">
      <c r="C133" s="1294" t="s">
        <v>0</v>
      </c>
      <c r="D133" s="1295">
        <v>0</v>
      </c>
      <c r="E133" s="1295"/>
      <c r="F133" s="1295"/>
      <c r="G133" s="1295"/>
    </row>
    <row r="134" spans="3:7" ht="12.6" customHeight="1" thickBot="1" x14ac:dyDescent="0.3">
      <c r="C134" s="1294" t="s">
        <v>49</v>
      </c>
      <c r="D134" s="1295">
        <v>0</v>
      </c>
      <c r="E134" s="1295"/>
      <c r="F134" s="1295"/>
      <c r="G134" s="1295"/>
    </row>
    <row r="135" spans="3:7" ht="12.6" customHeight="1" thickBot="1" x14ac:dyDescent="0.3">
      <c r="C135" s="1294" t="s">
        <v>1</v>
      </c>
      <c r="D135" s="1296">
        <v>800</v>
      </c>
      <c r="E135" s="1295"/>
      <c r="F135" s="1295"/>
      <c r="G135" s="1295"/>
    </row>
    <row r="136" spans="3:7" ht="12.6" customHeight="1" thickBot="1" x14ac:dyDescent="0.3">
      <c r="C136" s="1294" t="s">
        <v>2</v>
      </c>
      <c r="D136" s="1296">
        <v>0</v>
      </c>
      <c r="E136" s="1295"/>
      <c r="F136" s="1295"/>
      <c r="G136" s="1295"/>
    </row>
    <row r="137" spans="3:7" ht="12.6" customHeight="1" thickBot="1" x14ac:dyDescent="0.3">
      <c r="C137" s="1294" t="s">
        <v>28</v>
      </c>
      <c r="D137" s="1296">
        <v>0</v>
      </c>
      <c r="E137" s="1295">
        <v>1000</v>
      </c>
      <c r="F137" s="1295">
        <v>1200</v>
      </c>
      <c r="G137" s="1295">
        <v>1600</v>
      </c>
    </row>
    <row r="138" spans="3:7" ht="12.6" customHeight="1" thickBot="1" x14ac:dyDescent="0.3">
      <c r="C138" s="1294" t="s">
        <v>30</v>
      </c>
      <c r="D138" s="1296">
        <v>0</v>
      </c>
      <c r="E138" s="1295"/>
      <c r="F138" s="1295"/>
      <c r="G138" s="1295"/>
    </row>
    <row r="139" spans="3:7" ht="12.6" customHeight="1" thickBot="1" x14ac:dyDescent="0.3">
      <c r="C139" s="1294" t="s">
        <v>3</v>
      </c>
      <c r="D139" s="1297"/>
      <c r="E139" s="1297"/>
      <c r="F139" s="1297"/>
      <c r="G139" s="1297"/>
    </row>
    <row r="140" spans="3:7" ht="12.6" customHeight="1" thickBot="1" x14ac:dyDescent="0.3">
      <c r="C140" s="1298" t="s">
        <v>641</v>
      </c>
      <c r="D140" s="1296">
        <f>D139+D138+D137+D136+D135+D134+D133</f>
        <v>800</v>
      </c>
      <c r="E140" s="1296">
        <f>E139+E138+E137+E136+E135+E134+E133</f>
        <v>1000</v>
      </c>
      <c r="F140" s="1296">
        <f>F139+F138+F137+F136+F135+F134+F133</f>
        <v>1200</v>
      </c>
      <c r="G140" s="1296">
        <f>G139+G138+G137+G136+G135+G134+G133</f>
        <v>1600</v>
      </c>
    </row>
    <row r="141" spans="3:7" ht="12.6" customHeight="1" thickBot="1" x14ac:dyDescent="0.3">
      <c r="C141" s="1299" t="s">
        <v>70</v>
      </c>
      <c r="D141" s="1300">
        <f>D140-D125</f>
        <v>0</v>
      </c>
      <c r="E141" s="1300">
        <f>E140-E125</f>
        <v>0</v>
      </c>
      <c r="F141" s="1300">
        <f>F140-F125</f>
        <v>0</v>
      </c>
      <c r="G141" s="1300">
        <f>G140-G125</f>
        <v>0</v>
      </c>
    </row>
    <row r="142" spans="3:7" s="1279" customFormat="1" ht="44.45" customHeight="1" thickBot="1" x14ac:dyDescent="0.3">
      <c r="C142" s="1280" t="s">
        <v>512</v>
      </c>
      <c r="D142" s="2829" t="s">
        <v>845</v>
      </c>
      <c r="E142" s="2830"/>
      <c r="F142" s="2830"/>
      <c r="G142" s="2831"/>
    </row>
    <row r="143" spans="3:7" ht="12.6" customHeight="1" x14ac:dyDescent="0.25">
      <c r="C143" s="2858" t="s">
        <v>537</v>
      </c>
      <c r="D143" s="2859"/>
      <c r="E143" s="2859"/>
      <c r="F143" s="2859"/>
      <c r="G143" s="2860"/>
    </row>
    <row r="144" spans="3:7" ht="12.6" customHeight="1" x14ac:dyDescent="0.25">
      <c r="C144" s="1281"/>
      <c r="D144" s="1281">
        <v>2018</v>
      </c>
      <c r="E144" s="1281">
        <v>2019</v>
      </c>
      <c r="F144" s="1281">
        <v>2020</v>
      </c>
      <c r="G144" s="1281">
        <v>2021</v>
      </c>
    </row>
    <row r="145" spans="3:7" ht="12.6" customHeight="1" thickBot="1" x14ac:dyDescent="0.3">
      <c r="C145" s="1328" t="s">
        <v>844</v>
      </c>
      <c r="D145" s="1329"/>
      <c r="E145" s="1329"/>
      <c r="F145" s="1329"/>
      <c r="G145" s="1329"/>
    </row>
    <row r="146" spans="3:7" ht="12.6" customHeight="1" thickBot="1" x14ac:dyDescent="0.3">
      <c r="C146" s="1328" t="s">
        <v>843</v>
      </c>
      <c r="D146" s="1329"/>
      <c r="E146" s="1329"/>
      <c r="F146" s="1329"/>
      <c r="G146" s="1329"/>
    </row>
    <row r="147" spans="3:7" ht="12.6" customHeight="1" thickBot="1" x14ac:dyDescent="0.3">
      <c r="C147" s="1328" t="s">
        <v>842</v>
      </c>
      <c r="D147" s="1329"/>
      <c r="E147" s="1329"/>
      <c r="F147" s="1329"/>
      <c r="G147" s="1329"/>
    </row>
    <row r="148" spans="3:7" ht="12.6" customHeight="1" thickBot="1" x14ac:dyDescent="0.3">
      <c r="C148" s="2826" t="s">
        <v>535</v>
      </c>
      <c r="D148" s="2827"/>
      <c r="E148" s="2827"/>
      <c r="F148" s="2827"/>
      <c r="G148" s="2828"/>
    </row>
    <row r="149" spans="3:7" ht="12.6" customHeight="1" thickBot="1" x14ac:dyDescent="0.3">
      <c r="C149" s="2826" t="s">
        <v>121</v>
      </c>
      <c r="D149" s="2827"/>
      <c r="E149" s="2827"/>
      <c r="F149" s="2827"/>
      <c r="G149" s="2828"/>
    </row>
    <row r="150" spans="3:7" ht="17.45" customHeight="1" thickBot="1" x14ac:dyDescent="0.3">
      <c r="C150" s="1322" t="s">
        <v>648</v>
      </c>
      <c r="D150" s="2829" t="s">
        <v>841</v>
      </c>
      <c r="E150" s="2830"/>
      <c r="F150" s="2830"/>
      <c r="G150" s="2831"/>
    </row>
    <row r="151" spans="3:7" ht="13.15" customHeight="1" thickBot="1" x14ac:dyDescent="0.3">
      <c r="C151" s="1323" t="s">
        <v>10</v>
      </c>
      <c r="D151" s="2829" t="s">
        <v>840</v>
      </c>
      <c r="E151" s="2830"/>
      <c r="F151" s="2830"/>
      <c r="G151" s="2831"/>
    </row>
    <row r="152" spans="3:7" ht="12.6" customHeight="1" thickBot="1" x14ac:dyDescent="0.3">
      <c r="C152" s="1282" t="s">
        <v>13</v>
      </c>
      <c r="D152" s="2819" t="s">
        <v>839</v>
      </c>
      <c r="E152" s="2852"/>
      <c r="F152" s="2852"/>
      <c r="G152" s="2853"/>
    </row>
    <row r="153" spans="3:7" ht="12.6" customHeight="1" x14ac:dyDescent="0.25">
      <c r="C153" s="2834"/>
      <c r="D153" s="1283">
        <v>2018</v>
      </c>
      <c r="E153" s="1283">
        <v>2019</v>
      </c>
      <c r="F153" s="1283">
        <v>2020</v>
      </c>
      <c r="G153" s="1283">
        <v>2021</v>
      </c>
    </row>
    <row r="154" spans="3:7" ht="12.6" customHeight="1" thickBot="1" x14ac:dyDescent="0.3">
      <c r="C154" s="2835"/>
      <c r="D154" s="1284" t="s">
        <v>6</v>
      </c>
      <c r="E154" s="1284" t="s">
        <v>7</v>
      </c>
      <c r="F154" s="1284" t="s">
        <v>7</v>
      </c>
      <c r="G154" s="1284" t="s">
        <v>7</v>
      </c>
    </row>
    <row r="155" spans="3:7" ht="12.6" customHeight="1" thickBot="1" x14ac:dyDescent="0.3">
      <c r="C155" s="1282" t="s">
        <v>9</v>
      </c>
      <c r="D155" s="1330">
        <v>2</v>
      </c>
      <c r="E155" s="1331">
        <v>2</v>
      </c>
      <c r="F155" s="1331">
        <v>2</v>
      </c>
      <c r="G155" s="1331">
        <v>1</v>
      </c>
    </row>
    <row r="156" spans="3:7" ht="12.6" customHeight="1" thickBot="1" x14ac:dyDescent="0.3">
      <c r="C156" s="1282" t="s">
        <v>14</v>
      </c>
      <c r="D156" s="1332">
        <v>140000</v>
      </c>
      <c r="E156" s="1333">
        <v>140000</v>
      </c>
      <c r="F156" s="1333">
        <v>140000</v>
      </c>
      <c r="G156" s="1333">
        <v>14000</v>
      </c>
    </row>
    <row r="157" spans="3:7" ht="12.6" customHeight="1" thickBot="1" x14ac:dyDescent="0.3">
      <c r="C157" s="1282" t="s">
        <v>23</v>
      </c>
      <c r="D157" s="1332">
        <f>D156/D155</f>
        <v>70000</v>
      </c>
      <c r="E157" s="1332">
        <f>E156/E155</f>
        <v>70000</v>
      </c>
      <c r="F157" s="1332">
        <f>F156/F155</f>
        <v>70000</v>
      </c>
      <c r="G157" s="1332">
        <f>G156/G155</f>
        <v>14000</v>
      </c>
    </row>
    <row r="158" spans="3:7" ht="12.6" customHeight="1" thickBot="1" x14ac:dyDescent="0.3">
      <c r="C158" s="1282" t="s">
        <v>15</v>
      </c>
      <c r="D158" s="1327"/>
      <c r="E158" s="1327">
        <f t="shared" ref="E158:G160" si="4">E155/D155-1</f>
        <v>0</v>
      </c>
      <c r="F158" s="1327">
        <f t="shared" si="4"/>
        <v>0</v>
      </c>
      <c r="G158" s="1327">
        <f t="shared" si="4"/>
        <v>-0.5</v>
      </c>
    </row>
    <row r="159" spans="3:7" ht="12.6" customHeight="1" thickBot="1" x14ac:dyDescent="0.3">
      <c r="C159" s="1282" t="s">
        <v>16</v>
      </c>
      <c r="D159" s="1327"/>
      <c r="E159" s="1327">
        <f t="shared" si="4"/>
        <v>0</v>
      </c>
      <c r="F159" s="1327">
        <f t="shared" si="4"/>
        <v>0</v>
      </c>
      <c r="G159" s="1327">
        <f t="shared" si="4"/>
        <v>-0.9</v>
      </c>
    </row>
    <row r="160" spans="3:7" ht="12.6" customHeight="1" thickBot="1" x14ac:dyDescent="0.3">
      <c r="C160" s="1282" t="s">
        <v>17</v>
      </c>
      <c r="D160" s="1327"/>
      <c r="E160" s="1327">
        <f t="shared" si="4"/>
        <v>0</v>
      </c>
      <c r="F160" s="1327">
        <f t="shared" si="4"/>
        <v>0</v>
      </c>
      <c r="G160" s="1327">
        <f t="shared" si="4"/>
        <v>-0.8</v>
      </c>
    </row>
    <row r="161" spans="3:7" ht="12.6" customHeight="1" thickBot="1" x14ac:dyDescent="0.3">
      <c r="C161" s="2854" t="s">
        <v>991</v>
      </c>
      <c r="D161" s="2855"/>
      <c r="E161" s="2855"/>
      <c r="F161" s="2855"/>
      <c r="G161" s="2856"/>
    </row>
    <row r="162" spans="3:7" ht="12.6" customHeight="1" x14ac:dyDescent="0.25">
      <c r="C162" s="2834"/>
      <c r="D162" s="1262">
        <v>2018</v>
      </c>
      <c r="E162" s="1262">
        <v>2019</v>
      </c>
      <c r="F162" s="1262">
        <v>2020</v>
      </c>
      <c r="G162" s="1262">
        <v>2021</v>
      </c>
    </row>
    <row r="163" spans="3:7" ht="12.6" customHeight="1" thickBot="1" x14ac:dyDescent="0.3">
      <c r="C163" s="2835"/>
      <c r="D163" s="1263" t="s">
        <v>6</v>
      </c>
      <c r="E163" s="1263" t="s">
        <v>7</v>
      </c>
      <c r="F163" s="1263" t="s">
        <v>7</v>
      </c>
      <c r="G163" s="1263" t="s">
        <v>7</v>
      </c>
    </row>
    <row r="164" spans="3:7" ht="12.6" customHeight="1" thickBot="1" x14ac:dyDescent="0.3">
      <c r="C164" s="1294" t="s">
        <v>0</v>
      </c>
      <c r="D164" s="1295">
        <v>0</v>
      </c>
      <c r="E164" s="1295">
        <v>0</v>
      </c>
      <c r="F164" s="1295">
        <v>0</v>
      </c>
      <c r="G164" s="1295">
        <v>0</v>
      </c>
    </row>
    <row r="165" spans="3:7" ht="12.6" customHeight="1" thickBot="1" x14ac:dyDescent="0.3">
      <c r="C165" s="1294" t="s">
        <v>49</v>
      </c>
      <c r="D165" s="1295">
        <v>0</v>
      </c>
      <c r="E165" s="1295">
        <v>0</v>
      </c>
      <c r="F165" s="1295">
        <v>0</v>
      </c>
      <c r="G165" s="1295">
        <v>0</v>
      </c>
    </row>
    <row r="166" spans="3:7" ht="12.6" customHeight="1" thickBot="1" x14ac:dyDescent="0.3">
      <c r="C166" s="1294" t="s">
        <v>1</v>
      </c>
      <c r="D166" s="1296">
        <v>0</v>
      </c>
      <c r="E166" s="1296">
        <v>0</v>
      </c>
      <c r="F166" s="1296">
        <v>0</v>
      </c>
      <c r="G166" s="1296">
        <v>0</v>
      </c>
    </row>
    <row r="167" spans="3:7" ht="12.6" customHeight="1" thickBot="1" x14ac:dyDescent="0.3">
      <c r="C167" s="1294" t="s">
        <v>2</v>
      </c>
      <c r="D167" s="1296">
        <v>0</v>
      </c>
      <c r="E167" s="1296">
        <v>0</v>
      </c>
      <c r="F167" s="1296">
        <v>0</v>
      </c>
      <c r="G167" s="1296">
        <v>0</v>
      </c>
    </row>
    <row r="168" spans="3:7" ht="12.6" customHeight="1" thickBot="1" x14ac:dyDescent="0.3">
      <c r="C168" s="1294" t="s">
        <v>28</v>
      </c>
      <c r="D168" s="1296">
        <v>0</v>
      </c>
      <c r="E168" s="1295"/>
      <c r="F168" s="1295"/>
      <c r="G168" s="1295"/>
    </row>
    <row r="169" spans="3:7" ht="12.6" customHeight="1" thickBot="1" x14ac:dyDescent="0.3">
      <c r="C169" s="1294" t="s">
        <v>30</v>
      </c>
      <c r="D169" s="1296">
        <f>D156</f>
        <v>140000</v>
      </c>
      <c r="E169" s="1295">
        <f>E156</f>
        <v>140000</v>
      </c>
      <c r="F169" s="1295">
        <f>F156</f>
        <v>140000</v>
      </c>
      <c r="G169" s="1295">
        <f>G156</f>
        <v>14000</v>
      </c>
    </row>
    <row r="170" spans="3:7" ht="12.6" customHeight="1" thickBot="1" x14ac:dyDescent="0.3">
      <c r="C170" s="9" t="s">
        <v>60</v>
      </c>
      <c r="D170" s="1296"/>
      <c r="E170" s="1327" t="e">
        <f t="shared" ref="E170:E171" si="5">E167/D167-1</f>
        <v>#DIV/0!</v>
      </c>
      <c r="F170" s="1327" t="e">
        <f t="shared" ref="F170:F171" si="6">F167/E167-1</f>
        <v>#DIV/0!</v>
      </c>
      <c r="G170" s="1327" t="e">
        <f t="shared" ref="G170:G171" si="7">G167/F167-1</f>
        <v>#DIV/0!</v>
      </c>
    </row>
    <row r="171" spans="3:7" ht="12.6" customHeight="1" thickBot="1" x14ac:dyDescent="0.3">
      <c r="C171" s="9" t="s">
        <v>61</v>
      </c>
      <c r="D171" s="1296"/>
      <c r="E171" s="1327" t="e">
        <f t="shared" si="5"/>
        <v>#DIV/0!</v>
      </c>
      <c r="F171" s="1327" t="e">
        <f t="shared" si="6"/>
        <v>#DIV/0!</v>
      </c>
      <c r="G171" s="1327" t="e">
        <f t="shared" si="7"/>
        <v>#DIV/0!</v>
      </c>
    </row>
    <row r="172" spans="3:7" ht="12.6" customHeight="1" thickBot="1" x14ac:dyDescent="0.3">
      <c r="C172" s="1294" t="s">
        <v>3</v>
      </c>
      <c r="D172" s="1297">
        <v>0</v>
      </c>
      <c r="E172" s="1297">
        <v>0</v>
      </c>
      <c r="F172" s="1297">
        <v>0</v>
      </c>
      <c r="G172" s="1297">
        <v>0</v>
      </c>
    </row>
    <row r="173" spans="3:7" ht="12.6" customHeight="1" thickBot="1" x14ac:dyDescent="0.3">
      <c r="C173" s="1298" t="s">
        <v>68</v>
      </c>
      <c r="D173" s="1296">
        <f>D172+D169+D168+D167+D166+D165+D164</f>
        <v>140000</v>
      </c>
      <c r="E173" s="1296">
        <f>E172+E169+E168+E167+E166+E165+E164</f>
        <v>140000</v>
      </c>
      <c r="F173" s="1296">
        <f>F172+F169+F168+F167+F166+F165+F164</f>
        <v>140000</v>
      </c>
      <c r="G173" s="1296">
        <f>G172+G169+G168+G167+G166+G165+G164</f>
        <v>14000</v>
      </c>
    </row>
    <row r="174" spans="3:7" ht="12.6" customHeight="1" thickBot="1" x14ac:dyDescent="0.3">
      <c r="C174" s="1299" t="s">
        <v>70</v>
      </c>
      <c r="D174" s="1300">
        <f>D173-D156</f>
        <v>0</v>
      </c>
      <c r="E174" s="1300">
        <f>E173-E156</f>
        <v>0</v>
      </c>
      <c r="F174" s="1300">
        <f>F173-F156</f>
        <v>0</v>
      </c>
      <c r="G174" s="1300">
        <f>G173-G156</f>
        <v>0</v>
      </c>
    </row>
    <row r="175" spans="3:7" s="1279" customFormat="1" ht="42.6" customHeight="1" thickBot="1" x14ac:dyDescent="0.3">
      <c r="C175" s="1280" t="s">
        <v>639</v>
      </c>
      <c r="D175" s="2829" t="s">
        <v>838</v>
      </c>
      <c r="E175" s="2830"/>
      <c r="F175" s="2830"/>
      <c r="G175" s="2831"/>
    </row>
    <row r="176" spans="3:7" ht="12.6" customHeight="1" thickBot="1" x14ac:dyDescent="0.3">
      <c r="C176" s="2823" t="s">
        <v>637</v>
      </c>
      <c r="D176" s="2824"/>
      <c r="E176" s="2824"/>
      <c r="F176" s="2824"/>
      <c r="G176" s="2825"/>
    </row>
    <row r="177" spans="3:10" ht="12.6" customHeight="1" x14ac:dyDescent="0.25">
      <c r="C177" s="1281"/>
      <c r="D177" s="1366">
        <v>2018</v>
      </c>
      <c r="E177" s="1366">
        <v>2019</v>
      </c>
      <c r="F177" s="1366">
        <v>2020</v>
      </c>
      <c r="G177" s="1366">
        <v>2021</v>
      </c>
    </row>
    <row r="178" spans="3:10" ht="12.6" customHeight="1" thickBot="1" x14ac:dyDescent="0.3">
      <c r="C178" s="1302" t="s">
        <v>837</v>
      </c>
      <c r="D178" s="1372">
        <v>35</v>
      </c>
      <c r="E178" s="1373">
        <v>45</v>
      </c>
      <c r="F178" s="1373">
        <v>50</v>
      </c>
      <c r="G178" s="1373">
        <v>55</v>
      </c>
    </row>
    <row r="179" spans="3:10" ht="12.6" customHeight="1" thickBot="1" x14ac:dyDescent="0.3">
      <c r="C179" s="1302" t="s">
        <v>836</v>
      </c>
      <c r="D179" s="1374">
        <v>25</v>
      </c>
      <c r="E179" s="1374">
        <v>28</v>
      </c>
      <c r="F179" s="1374">
        <v>30</v>
      </c>
      <c r="G179" s="1374">
        <v>35</v>
      </c>
    </row>
    <row r="180" spans="3:10" ht="12.6" customHeight="1" thickBot="1" x14ac:dyDescent="0.3">
      <c r="C180" s="1302" t="s">
        <v>835</v>
      </c>
      <c r="D180" s="1374"/>
      <c r="E180" s="1375">
        <f>E179/D179-1</f>
        <v>0.12000000000000011</v>
      </c>
      <c r="F180" s="1375">
        <f t="shared" ref="F180:G180" si="8">F179/E179-1</f>
        <v>7.1428571428571397E-2</v>
      </c>
      <c r="G180" s="1375">
        <f t="shared" si="8"/>
        <v>0.16666666666666674</v>
      </c>
    </row>
    <row r="181" spans="3:10" ht="12.6" customHeight="1" thickBot="1" x14ac:dyDescent="0.3">
      <c r="C181" s="2826" t="s">
        <v>630</v>
      </c>
      <c r="D181" s="2827"/>
      <c r="E181" s="2827"/>
      <c r="F181" s="2827"/>
      <c r="G181" s="2828"/>
    </row>
    <row r="182" spans="3:10" ht="12.6" customHeight="1" thickBot="1" x14ac:dyDescent="0.3">
      <c r="C182" s="2826" t="s">
        <v>121</v>
      </c>
      <c r="D182" s="2827"/>
      <c r="E182" s="2827"/>
      <c r="F182" s="2827"/>
      <c r="G182" s="2828"/>
    </row>
    <row r="183" spans="3:10" ht="14.45" customHeight="1" thickBot="1" x14ac:dyDescent="0.3">
      <c r="C183" s="1305" t="s">
        <v>629</v>
      </c>
      <c r="D183" s="2829" t="s">
        <v>834</v>
      </c>
      <c r="E183" s="2830"/>
      <c r="F183" s="2830"/>
      <c r="G183" s="2831"/>
    </row>
    <row r="184" spans="3:10" ht="27.6" customHeight="1" thickBot="1" x14ac:dyDescent="0.3">
      <c r="C184" s="1282" t="s">
        <v>10</v>
      </c>
      <c r="D184" s="2829" t="s">
        <v>833</v>
      </c>
      <c r="E184" s="2830"/>
      <c r="F184" s="2830"/>
      <c r="G184" s="2831"/>
    </row>
    <row r="185" spans="3:10" ht="12.6" customHeight="1" thickBot="1" x14ac:dyDescent="0.3">
      <c r="C185" s="1282" t="s">
        <v>13</v>
      </c>
      <c r="D185" s="2819" t="s">
        <v>832</v>
      </c>
      <c r="E185" s="2852"/>
      <c r="F185" s="2852"/>
      <c r="G185" s="2853"/>
    </row>
    <row r="186" spans="3:10" ht="12.6" customHeight="1" x14ac:dyDescent="0.25">
      <c r="C186" s="2834"/>
      <c r="D186" s="1258">
        <v>2018</v>
      </c>
      <c r="E186" s="1258">
        <v>2019</v>
      </c>
      <c r="F186" s="1258">
        <v>2020</v>
      </c>
      <c r="G186" s="1258">
        <v>2021</v>
      </c>
    </row>
    <row r="187" spans="3:10" ht="12.6" customHeight="1" thickBot="1" x14ac:dyDescent="0.3">
      <c r="C187" s="2835"/>
      <c r="D187" s="1259" t="s">
        <v>6</v>
      </c>
      <c r="E187" s="1259" t="s">
        <v>7</v>
      </c>
      <c r="F187" s="1259" t="s">
        <v>7</v>
      </c>
      <c r="G187" s="1259" t="s">
        <v>7</v>
      </c>
    </row>
    <row r="188" spans="3:10" ht="12.6" customHeight="1" thickBot="1" x14ac:dyDescent="0.3">
      <c r="C188" s="1282" t="s">
        <v>9</v>
      </c>
      <c r="D188" s="1370">
        <v>35</v>
      </c>
      <c r="E188" s="1371">
        <v>45</v>
      </c>
      <c r="F188" s="1371">
        <v>50</v>
      </c>
      <c r="G188" s="1371">
        <v>55</v>
      </c>
    </row>
    <row r="189" spans="3:10" ht="12.6" customHeight="1" thickBot="1" x14ac:dyDescent="0.3">
      <c r="C189" s="1282" t="s">
        <v>14</v>
      </c>
      <c r="D189" s="1332">
        <v>132000</v>
      </c>
      <c r="E189" s="1333">
        <v>200000</v>
      </c>
      <c r="F189" s="1333">
        <v>250000</v>
      </c>
      <c r="G189" s="1333">
        <v>300000</v>
      </c>
      <c r="H189" s="1369">
        <v>50000</v>
      </c>
      <c r="I189" s="1369">
        <v>100000</v>
      </c>
      <c r="J189" s="1369">
        <v>150000</v>
      </c>
    </row>
    <row r="190" spans="3:10" ht="12.6" customHeight="1" thickBot="1" x14ac:dyDescent="0.3">
      <c r="C190" s="1282" t="s">
        <v>23</v>
      </c>
      <c r="D190" s="1332">
        <f>D189/D188</f>
        <v>3771.4285714285716</v>
      </c>
      <c r="E190" s="1333">
        <f>E189/E188</f>
        <v>4444.4444444444443</v>
      </c>
      <c r="F190" s="1333">
        <f>F189/F188</f>
        <v>5000</v>
      </c>
      <c r="G190" s="1333">
        <f>G189/G188</f>
        <v>5454.545454545455</v>
      </c>
    </row>
    <row r="191" spans="3:10" ht="12.6" customHeight="1" thickBot="1" x14ac:dyDescent="0.3">
      <c r="C191" s="1282" t="s">
        <v>15</v>
      </c>
      <c r="D191" s="1327"/>
      <c r="E191" s="1327">
        <f t="shared" ref="E191:G193" si="9">E188/D188-1</f>
        <v>0.28571428571428581</v>
      </c>
      <c r="F191" s="1327">
        <f t="shared" si="9"/>
        <v>0.11111111111111116</v>
      </c>
      <c r="G191" s="1327">
        <f t="shared" si="9"/>
        <v>0.10000000000000009</v>
      </c>
    </row>
    <row r="192" spans="3:10" ht="12.6" customHeight="1" thickBot="1" x14ac:dyDescent="0.3">
      <c r="C192" s="1282" t="s">
        <v>16</v>
      </c>
      <c r="D192" s="1327"/>
      <c r="E192" s="1327">
        <f t="shared" si="9"/>
        <v>0.51515151515151514</v>
      </c>
      <c r="F192" s="1327">
        <f t="shared" si="9"/>
        <v>0.25</v>
      </c>
      <c r="G192" s="1327">
        <f t="shared" si="9"/>
        <v>0.19999999999999996</v>
      </c>
    </row>
    <row r="193" spans="3:7" ht="12.6" customHeight="1" thickBot="1" x14ac:dyDescent="0.3">
      <c r="C193" s="1282" t="s">
        <v>17</v>
      </c>
      <c r="D193" s="1327"/>
      <c r="E193" s="1327">
        <f t="shared" si="9"/>
        <v>0.17845117845117842</v>
      </c>
      <c r="F193" s="1327">
        <f t="shared" si="9"/>
        <v>0.125</v>
      </c>
      <c r="G193" s="1327">
        <f t="shared" si="9"/>
        <v>9.090909090909105E-2</v>
      </c>
    </row>
    <row r="194" spans="3:7" ht="12.6" customHeight="1" thickBot="1" x14ac:dyDescent="0.3">
      <c r="C194" s="2854" t="s">
        <v>991</v>
      </c>
      <c r="D194" s="2855"/>
      <c r="E194" s="2855"/>
      <c r="F194" s="2855"/>
      <c r="G194" s="2856"/>
    </row>
    <row r="195" spans="3:7" ht="12.6" customHeight="1" x14ac:dyDescent="0.25">
      <c r="C195" s="2834"/>
      <c r="D195" s="1262">
        <v>2018</v>
      </c>
      <c r="E195" s="1262">
        <v>2019</v>
      </c>
      <c r="F195" s="1262">
        <v>2020</v>
      </c>
      <c r="G195" s="1262">
        <v>2021</v>
      </c>
    </row>
    <row r="196" spans="3:7" ht="12.6" customHeight="1" thickBot="1" x14ac:dyDescent="0.3">
      <c r="C196" s="2835"/>
      <c r="D196" s="1263" t="s">
        <v>6</v>
      </c>
      <c r="E196" s="1263" t="s">
        <v>7</v>
      </c>
      <c r="F196" s="1263" t="s">
        <v>7</v>
      </c>
      <c r="G196" s="1263" t="s">
        <v>7</v>
      </c>
    </row>
    <row r="197" spans="3:7" ht="12.6" customHeight="1" thickBot="1" x14ac:dyDescent="0.3">
      <c r="C197" s="1294" t="s">
        <v>0</v>
      </c>
      <c r="D197" s="1295">
        <v>0</v>
      </c>
      <c r="E197" s="1295"/>
      <c r="F197" s="1295"/>
      <c r="G197" s="1295"/>
    </row>
    <row r="198" spans="3:7" ht="12.6" customHeight="1" thickBot="1" x14ac:dyDescent="0.3">
      <c r="C198" s="1294" t="s">
        <v>49</v>
      </c>
      <c r="D198" s="1295">
        <v>0</v>
      </c>
      <c r="E198" s="1295"/>
      <c r="F198" s="1295"/>
      <c r="G198" s="1295"/>
    </row>
    <row r="199" spans="3:7" ht="12.6" customHeight="1" thickBot="1" x14ac:dyDescent="0.3">
      <c r="C199" s="1294" t="s">
        <v>1</v>
      </c>
      <c r="D199" s="1296">
        <v>0</v>
      </c>
      <c r="E199" s="1295"/>
      <c r="F199" s="1295"/>
      <c r="G199" s="1295"/>
    </row>
    <row r="200" spans="3:7" ht="12.6" customHeight="1" thickBot="1" x14ac:dyDescent="0.3">
      <c r="C200" s="1294" t="s">
        <v>2</v>
      </c>
      <c r="D200" s="1296">
        <v>0</v>
      </c>
      <c r="E200" s="1295"/>
      <c r="F200" s="1295"/>
      <c r="G200" s="1295"/>
    </row>
    <row r="201" spans="3:7" ht="12.6" customHeight="1" thickBot="1" x14ac:dyDescent="0.3">
      <c r="C201" s="1294" t="s">
        <v>28</v>
      </c>
      <c r="D201" s="1296">
        <v>0</v>
      </c>
      <c r="E201" s="1295"/>
      <c r="F201" s="1295"/>
      <c r="G201" s="1295"/>
    </row>
    <row r="202" spans="3:7" ht="12.6" customHeight="1" thickBot="1" x14ac:dyDescent="0.3">
      <c r="C202" s="1294" t="s">
        <v>30</v>
      </c>
      <c r="D202" s="1296">
        <v>0</v>
      </c>
      <c r="E202" s="1295"/>
      <c r="F202" s="1295"/>
      <c r="G202" s="1295"/>
    </row>
    <row r="203" spans="3:7" ht="12.6" customHeight="1" thickBot="1" x14ac:dyDescent="0.3">
      <c r="C203" s="1294" t="s">
        <v>3</v>
      </c>
      <c r="D203" s="1297">
        <f>D189</f>
        <v>132000</v>
      </c>
      <c r="E203" s="1297">
        <f t="shared" ref="E203:G203" si="10">E189</f>
        <v>200000</v>
      </c>
      <c r="F203" s="1297">
        <f t="shared" si="10"/>
        <v>250000</v>
      </c>
      <c r="G203" s="1297">
        <f t="shared" si="10"/>
        <v>300000</v>
      </c>
    </row>
    <row r="204" spans="3:7" ht="12.6" customHeight="1" thickBot="1" x14ac:dyDescent="0.3">
      <c r="C204" s="9" t="s">
        <v>62</v>
      </c>
      <c r="D204" s="1297"/>
      <c r="E204" s="1327">
        <v>0.17845117845117842</v>
      </c>
      <c r="F204" s="1327">
        <v>0.125</v>
      </c>
      <c r="G204" s="1327">
        <v>9.090909090909105E-2</v>
      </c>
    </row>
    <row r="205" spans="3:7" ht="12.6" customHeight="1" thickBot="1" x14ac:dyDescent="0.3">
      <c r="C205" s="9" t="s">
        <v>63</v>
      </c>
      <c r="D205" s="1297"/>
      <c r="E205" s="1327">
        <v>0.28571428571428581</v>
      </c>
      <c r="F205" s="1327">
        <v>0.11111111111111116</v>
      </c>
      <c r="G205" s="1327">
        <v>0.10000000000000009</v>
      </c>
    </row>
    <row r="206" spans="3:7" ht="12.6" customHeight="1" thickBot="1" x14ac:dyDescent="0.3">
      <c r="C206" s="1379" t="s">
        <v>68</v>
      </c>
      <c r="D206" s="1380">
        <f>D203+D202+D201+D200+D199+D198+D197</f>
        <v>132000</v>
      </c>
      <c r="E206" s="1380">
        <f>E203+E202+E201+E200+E199+E198+E197</f>
        <v>200000</v>
      </c>
      <c r="F206" s="1380">
        <f>F203+F202+F201+F200+F199+F198+F197</f>
        <v>250000</v>
      </c>
      <c r="G206" s="1380">
        <f>G203+G202+G201+G200+G199+G198+G197</f>
        <v>300000</v>
      </c>
    </row>
    <row r="207" spans="3:7" ht="12.6" customHeight="1" thickBot="1" x14ac:dyDescent="0.3">
      <c r="C207" s="1299" t="s">
        <v>70</v>
      </c>
      <c r="D207" s="1300">
        <f>D206-D189</f>
        <v>0</v>
      </c>
      <c r="E207" s="1300">
        <f>E206-E189</f>
        <v>0</v>
      </c>
      <c r="F207" s="1300">
        <f>F206-F189</f>
        <v>0</v>
      </c>
      <c r="G207" s="1300">
        <f>G206-G189</f>
        <v>0</v>
      </c>
    </row>
    <row r="208" spans="3:7" ht="12.6" customHeight="1" thickBot="1" x14ac:dyDescent="0.3">
      <c r="C208" s="2826" t="s">
        <v>100</v>
      </c>
      <c r="D208" s="2827"/>
      <c r="E208" s="2827"/>
      <c r="F208" s="2827"/>
      <c r="G208" s="2828"/>
    </row>
    <row r="209" spans="3:7" ht="14.45" customHeight="1" thickBot="1" x14ac:dyDescent="0.3">
      <c r="C209" s="2826" t="s">
        <v>831</v>
      </c>
      <c r="D209" s="2827"/>
      <c r="E209" s="2827"/>
      <c r="F209" s="2827"/>
      <c r="G209" s="2828"/>
    </row>
    <row r="210" spans="3:7" ht="24" customHeight="1" thickBot="1" x14ac:dyDescent="0.3">
      <c r="C210" s="1334" t="s">
        <v>114</v>
      </c>
      <c r="D210" s="2861" t="s">
        <v>46</v>
      </c>
      <c r="E210" s="2862"/>
      <c r="F210" s="2862"/>
      <c r="G210" s="2863"/>
    </row>
    <row r="211" spans="3:7" ht="37.15" customHeight="1" thickBot="1" x14ac:dyDescent="0.3">
      <c r="C211" s="1305" t="s">
        <v>45</v>
      </c>
      <c r="D211" s="2829" t="s">
        <v>830</v>
      </c>
      <c r="E211" s="2830"/>
      <c r="F211" s="2830"/>
      <c r="G211" s="2831"/>
    </row>
    <row r="212" spans="3:7" ht="33.6" customHeight="1" thickBot="1" x14ac:dyDescent="0.3">
      <c r="C212" s="1282" t="s">
        <v>10</v>
      </c>
      <c r="D212" s="2829" t="s">
        <v>999</v>
      </c>
      <c r="E212" s="2830"/>
      <c r="F212" s="2830"/>
      <c r="G212" s="2831"/>
    </row>
    <row r="213" spans="3:7" ht="12.6" customHeight="1" thickBot="1" x14ac:dyDescent="0.3">
      <c r="C213" s="1323" t="s">
        <v>13</v>
      </c>
      <c r="D213" s="2864" t="s">
        <v>828</v>
      </c>
      <c r="E213" s="2865"/>
      <c r="F213" s="2865"/>
      <c r="G213" s="2866"/>
    </row>
    <row r="214" spans="3:7" ht="12.6" customHeight="1" x14ac:dyDescent="0.25">
      <c r="C214" s="2834"/>
      <c r="D214" s="1367">
        <v>2018</v>
      </c>
      <c r="E214" s="1367">
        <v>2019</v>
      </c>
      <c r="F214" s="1367">
        <v>2020</v>
      </c>
      <c r="G214" s="1367">
        <v>2021</v>
      </c>
    </row>
    <row r="215" spans="3:7" ht="12.6" customHeight="1" thickBot="1" x14ac:dyDescent="0.3">
      <c r="C215" s="2835"/>
      <c r="D215" s="1368" t="s">
        <v>6</v>
      </c>
      <c r="E215" s="1368" t="s">
        <v>7</v>
      </c>
      <c r="F215" s="1368" t="s">
        <v>7</v>
      </c>
      <c r="G215" s="1368" t="s">
        <v>7</v>
      </c>
    </row>
    <row r="216" spans="3:7" ht="12.6" customHeight="1" thickBot="1" x14ac:dyDescent="0.3">
      <c r="C216" s="1282" t="s">
        <v>9</v>
      </c>
      <c r="D216" s="1335">
        <v>20</v>
      </c>
      <c r="E216" s="1335">
        <v>20</v>
      </c>
      <c r="F216" s="1335">
        <v>20</v>
      </c>
      <c r="G216" s="1335">
        <v>20</v>
      </c>
    </row>
    <row r="217" spans="3:7" ht="12.6" customHeight="1" thickBot="1" x14ac:dyDescent="0.3">
      <c r="C217" s="1282" t="s">
        <v>14</v>
      </c>
      <c r="D217" s="1336">
        <v>100000</v>
      </c>
      <c r="E217" s="1336">
        <v>100000</v>
      </c>
      <c r="F217" s="1336">
        <v>100000</v>
      </c>
      <c r="G217" s="1336">
        <v>100000</v>
      </c>
    </row>
    <row r="218" spans="3:7" ht="12.6" customHeight="1" thickBot="1" x14ac:dyDescent="0.3">
      <c r="C218" s="1282" t="s">
        <v>23</v>
      </c>
      <c r="D218" s="1335">
        <f>D217/D216</f>
        <v>5000</v>
      </c>
      <c r="E218" s="1335">
        <f>E217/E216</f>
        <v>5000</v>
      </c>
      <c r="F218" s="1335">
        <f>F217/F216</f>
        <v>5000</v>
      </c>
      <c r="G218" s="1335">
        <f>G217/G216</f>
        <v>5000</v>
      </c>
    </row>
    <row r="219" spans="3:7" ht="12.6" customHeight="1" thickBot="1" x14ac:dyDescent="0.3">
      <c r="C219" s="1282" t="s">
        <v>15</v>
      </c>
      <c r="D219" s="1282" t="s">
        <v>21</v>
      </c>
      <c r="E219" s="1337">
        <f t="shared" ref="E219:G221" si="11">E216/D216-1</f>
        <v>0</v>
      </c>
      <c r="F219" s="1337">
        <f t="shared" si="11"/>
        <v>0</v>
      </c>
      <c r="G219" s="1337">
        <f t="shared" si="11"/>
        <v>0</v>
      </c>
    </row>
    <row r="220" spans="3:7" ht="12.6" customHeight="1" thickBot="1" x14ac:dyDescent="0.3">
      <c r="C220" s="1282" t="s">
        <v>16</v>
      </c>
      <c r="D220" s="1282" t="s">
        <v>21</v>
      </c>
      <c r="E220" s="1337">
        <f t="shared" si="11"/>
        <v>0</v>
      </c>
      <c r="F220" s="1337">
        <f t="shared" si="11"/>
        <v>0</v>
      </c>
      <c r="G220" s="1337">
        <f t="shared" si="11"/>
        <v>0</v>
      </c>
    </row>
    <row r="221" spans="3:7" ht="12.6" customHeight="1" thickBot="1" x14ac:dyDescent="0.3">
      <c r="C221" s="1282" t="s">
        <v>17</v>
      </c>
      <c r="D221" s="1282" t="s">
        <v>21</v>
      </c>
      <c r="E221" s="1337">
        <f t="shared" si="11"/>
        <v>0</v>
      </c>
      <c r="F221" s="1337">
        <f t="shared" si="11"/>
        <v>0</v>
      </c>
      <c r="G221" s="1337">
        <f t="shared" si="11"/>
        <v>0</v>
      </c>
    </row>
    <row r="222" spans="3:7" ht="12.6" customHeight="1" thickBot="1" x14ac:dyDescent="0.3">
      <c r="C222" s="2854" t="s">
        <v>991</v>
      </c>
      <c r="D222" s="2855"/>
      <c r="E222" s="2855"/>
      <c r="F222" s="2855"/>
      <c r="G222" s="2856"/>
    </row>
    <row r="223" spans="3:7" ht="12.6" customHeight="1" x14ac:dyDescent="0.25">
      <c r="C223" s="2834"/>
      <c r="D223" s="1258">
        <v>2018</v>
      </c>
      <c r="E223" s="1258">
        <v>2019</v>
      </c>
      <c r="F223" s="1258">
        <v>2020</v>
      </c>
      <c r="G223" s="1258">
        <v>2021</v>
      </c>
    </row>
    <row r="224" spans="3:7" ht="12.6" customHeight="1" thickBot="1" x14ac:dyDescent="0.3">
      <c r="C224" s="2835"/>
      <c r="D224" s="1259" t="s">
        <v>6</v>
      </c>
      <c r="E224" s="1259" t="s">
        <v>7</v>
      </c>
      <c r="F224" s="1259" t="s">
        <v>7</v>
      </c>
      <c r="G224" s="1259" t="s">
        <v>7</v>
      </c>
    </row>
    <row r="225" spans="3:7" ht="12.6" customHeight="1" thickBot="1" x14ac:dyDescent="0.3">
      <c r="C225" s="1294" t="s">
        <v>104</v>
      </c>
      <c r="D225" s="1295"/>
      <c r="E225" s="1295"/>
      <c r="F225" s="1295"/>
      <c r="G225" s="1295"/>
    </row>
    <row r="226" spans="3:7" ht="12.6" customHeight="1" thickBot="1" x14ac:dyDescent="0.3">
      <c r="C226" s="1294" t="s">
        <v>105</v>
      </c>
      <c r="D226" s="1336">
        <v>100000</v>
      </c>
      <c r="E226" s="1336">
        <v>100000</v>
      </c>
      <c r="F226" s="1336">
        <v>100000</v>
      </c>
      <c r="G226" s="1336">
        <v>100000</v>
      </c>
    </row>
    <row r="227" spans="3:7" ht="12.6" customHeight="1" thickBot="1" x14ac:dyDescent="0.3">
      <c r="C227" s="1298" t="s">
        <v>68</v>
      </c>
      <c r="D227" s="1296">
        <f>D226+D225</f>
        <v>100000</v>
      </c>
      <c r="E227" s="1296">
        <f>E226+E225</f>
        <v>100000</v>
      </c>
      <c r="F227" s="1296">
        <f>F226+F225</f>
        <v>100000</v>
      </c>
      <c r="G227" s="1296">
        <f>G226+G225</f>
        <v>100000</v>
      </c>
    </row>
    <row r="228" spans="3:7" ht="12.6" customHeight="1" thickBot="1" x14ac:dyDescent="0.3">
      <c r="C228" s="1299" t="s">
        <v>70</v>
      </c>
      <c r="D228" s="1300">
        <f>D227-D217</f>
        <v>0</v>
      </c>
      <c r="E228" s="1300">
        <f>E227-E217</f>
        <v>0</v>
      </c>
      <c r="F228" s="1300">
        <f>F227-F217</f>
        <v>0</v>
      </c>
      <c r="G228" s="1300">
        <f>G227-G217</f>
        <v>0</v>
      </c>
    </row>
    <row r="229" spans="3:7" ht="9.6" customHeight="1" x14ac:dyDescent="0.25">
      <c r="C229" s="2834" t="s">
        <v>102</v>
      </c>
      <c r="D229" s="2867"/>
      <c r="E229" s="2868"/>
      <c r="F229" s="2868"/>
      <c r="G229" s="2869"/>
    </row>
    <row r="230" spans="3:7" ht="9.6" customHeight="1" x14ac:dyDescent="0.25">
      <c r="C230" s="2851"/>
      <c r="D230" s="2870"/>
      <c r="E230" s="2871"/>
      <c r="F230" s="2871"/>
      <c r="G230" s="2872"/>
    </row>
    <row r="231" spans="3:7" ht="9.6" customHeight="1" thickBot="1" x14ac:dyDescent="0.3">
      <c r="C231" s="2835"/>
      <c r="D231" s="2873"/>
      <c r="E231" s="2874"/>
      <c r="F231" s="2874"/>
      <c r="G231" s="2875"/>
    </row>
    <row r="232" spans="3:7" ht="9.6" customHeight="1" thickBot="1" x14ac:dyDescent="0.3">
      <c r="C232" s="1282"/>
      <c r="D232" s="1258">
        <v>2018</v>
      </c>
      <c r="E232" s="1258">
        <v>2019</v>
      </c>
      <c r="F232" s="1258">
        <v>2020</v>
      </c>
      <c r="G232" s="1258">
        <v>2021</v>
      </c>
    </row>
    <row r="233" spans="3:7" ht="12.6" customHeight="1" thickBot="1" x14ac:dyDescent="0.3">
      <c r="C233" s="1338"/>
      <c r="D233" s="1259" t="s">
        <v>6</v>
      </c>
      <c r="E233" s="1259" t="s">
        <v>7</v>
      </c>
      <c r="F233" s="1259" t="s">
        <v>7</v>
      </c>
      <c r="G233" s="1259" t="s">
        <v>7</v>
      </c>
    </row>
    <row r="234" spans="3:7" ht="16.149999999999999" customHeight="1" thickBot="1" x14ac:dyDescent="0.3">
      <c r="C234" s="1376" t="s">
        <v>116</v>
      </c>
      <c r="D234" s="1377">
        <f>D39+D75+D107+D125+D156+D189+D217</f>
        <v>480422</v>
      </c>
      <c r="E234" s="1377">
        <f>E39+E75+E107+E125+E156+E189+E217</f>
        <v>1170000</v>
      </c>
      <c r="F234" s="1377">
        <f>F39+F75+F107+F125+F156+F189+F217</f>
        <v>1380000</v>
      </c>
      <c r="G234" s="1377">
        <f>G39+G75+G107+G125+G156+G189+G217</f>
        <v>1670960</v>
      </c>
    </row>
    <row r="235" spans="3:7" ht="25.15" customHeight="1" thickBot="1" x14ac:dyDescent="0.3">
      <c r="C235" s="1376" t="s">
        <v>117</v>
      </c>
      <c r="D235" s="1377">
        <f>D54+D90+D117+D140+D173+D206+D227</f>
        <v>480422</v>
      </c>
      <c r="E235" s="1377">
        <f>E54+E90+E117+E140+E173+E206+E227</f>
        <v>1170000</v>
      </c>
      <c r="F235" s="1377">
        <f>F54+F90+F117+F140+F173+F206+F227</f>
        <v>1380000</v>
      </c>
      <c r="G235" s="1377">
        <f>G54+G90+G117+G140+G173+G206+G227</f>
        <v>1670960</v>
      </c>
    </row>
    <row r="236" spans="3:7" ht="12.6" customHeight="1" thickBot="1" x14ac:dyDescent="0.3">
      <c r="C236" s="1302" t="s">
        <v>24</v>
      </c>
      <c r="D236" s="1339"/>
      <c r="E236" s="1340">
        <f>E235/D235-1</f>
        <v>1.4353589136217741</v>
      </c>
      <c r="F236" s="1340">
        <f>F235/E235-1</f>
        <v>0.17948717948717952</v>
      </c>
      <c r="G236" s="1340">
        <f>G235/F235-1</f>
        <v>0.21084057971014492</v>
      </c>
    </row>
    <row r="237" spans="3:7" ht="12.6" customHeight="1" thickBot="1" x14ac:dyDescent="0.3">
      <c r="C237" s="1294" t="s">
        <v>0</v>
      </c>
      <c r="D237" s="1295">
        <f>D47</f>
        <v>14850</v>
      </c>
      <c r="E237" s="1295">
        <f>E47</f>
        <v>14850</v>
      </c>
      <c r="F237" s="1295">
        <f>F47</f>
        <v>14850</v>
      </c>
      <c r="G237" s="1295">
        <f>G47</f>
        <v>14850</v>
      </c>
    </row>
    <row r="238" spans="3:7" ht="12.6" customHeight="1" thickBot="1" x14ac:dyDescent="0.3">
      <c r="C238" s="1341" t="s">
        <v>25</v>
      </c>
      <c r="D238" s="1296"/>
      <c r="E238" s="1340">
        <f>E237/D237-1</f>
        <v>0</v>
      </c>
      <c r="F238" s="1340">
        <f>F237/E237-1</f>
        <v>0</v>
      </c>
      <c r="G238" s="1340">
        <f>G237/F237-1</f>
        <v>0</v>
      </c>
    </row>
    <row r="239" spans="3:7" ht="12.6" customHeight="1" thickBot="1" x14ac:dyDescent="0.3">
      <c r="C239" s="1294" t="s">
        <v>49</v>
      </c>
      <c r="D239" s="1295">
        <f>D48</f>
        <v>2650</v>
      </c>
      <c r="E239" s="1295">
        <f>E48</f>
        <v>2650</v>
      </c>
      <c r="F239" s="1295">
        <f>F48</f>
        <v>2650</v>
      </c>
      <c r="G239" s="1295">
        <f>G48</f>
        <v>2650</v>
      </c>
    </row>
    <row r="240" spans="3:7" ht="12.6" customHeight="1" thickBot="1" x14ac:dyDescent="0.3">
      <c r="C240" s="1341" t="s">
        <v>50</v>
      </c>
      <c r="D240" s="1296"/>
      <c r="E240" s="1340">
        <f>E239/D239-1</f>
        <v>0</v>
      </c>
      <c r="F240" s="1340">
        <f>F239/E239-1</f>
        <v>0</v>
      </c>
      <c r="G240" s="1340">
        <f>G239/F239-1</f>
        <v>0</v>
      </c>
    </row>
    <row r="241" spans="3:7" ht="12.6" customHeight="1" thickBot="1" x14ac:dyDescent="0.3">
      <c r="C241" s="1294" t="s">
        <v>1</v>
      </c>
      <c r="D241" s="1295">
        <f>D49+D85+D135+D166+D199</f>
        <v>11600</v>
      </c>
      <c r="E241" s="1342">
        <f>E49+E85+E135+E166+E199</f>
        <v>3000</v>
      </c>
      <c r="F241" s="1342">
        <f>F49+F85+F135+F166+F199</f>
        <v>3500</v>
      </c>
      <c r="G241" s="1342">
        <f>G49+G85+G135+G166+G199</f>
        <v>3800</v>
      </c>
    </row>
    <row r="242" spans="3:7" ht="12.6" customHeight="1" thickBot="1" x14ac:dyDescent="0.3">
      <c r="C242" s="1341" t="s">
        <v>26</v>
      </c>
      <c r="D242" s="1296"/>
      <c r="E242" s="1340">
        <v>0</v>
      </c>
      <c r="F242" s="1340">
        <v>0</v>
      </c>
      <c r="G242" s="1340">
        <v>0</v>
      </c>
    </row>
    <row r="243" spans="3:7" ht="12.6" customHeight="1" thickBot="1" x14ac:dyDescent="0.3">
      <c r="C243" s="1294" t="s">
        <v>2</v>
      </c>
      <c r="D243" s="1295">
        <v>0</v>
      </c>
      <c r="E243" s="1295">
        <v>0</v>
      </c>
      <c r="F243" s="1295">
        <v>0</v>
      </c>
      <c r="G243" s="1295">
        <v>0</v>
      </c>
    </row>
    <row r="244" spans="3:7" ht="12.6" customHeight="1" thickBot="1" x14ac:dyDescent="0.3">
      <c r="C244" s="1341" t="s">
        <v>27</v>
      </c>
      <c r="D244" s="1296"/>
      <c r="E244" s="1340"/>
      <c r="F244" s="1340"/>
      <c r="G244" s="1340"/>
    </row>
    <row r="245" spans="3:7" ht="12.6" customHeight="1" thickBot="1" x14ac:dyDescent="0.3">
      <c r="C245" s="1343" t="s">
        <v>28</v>
      </c>
      <c r="D245" s="1297">
        <f>D51+D87+D137+D168+D201</f>
        <v>17200</v>
      </c>
      <c r="E245" s="1297">
        <f>E51+E87+E137+E168+E201</f>
        <v>39500</v>
      </c>
      <c r="F245" s="1297">
        <f>F51+F87+F137+F168+F201</f>
        <v>69000</v>
      </c>
      <c r="G245" s="1297">
        <f>G51+G87+G137+G168+G201</f>
        <v>235660</v>
      </c>
    </row>
    <row r="246" spans="3:7" ht="12.6" customHeight="1" thickBot="1" x14ac:dyDescent="0.3">
      <c r="C246" s="1341" t="s">
        <v>29</v>
      </c>
      <c r="D246" s="1296"/>
      <c r="E246" s="1340">
        <f>E245/D245-1</f>
        <v>1.2965116279069768</v>
      </c>
      <c r="F246" s="1340">
        <f>F245/E245-1</f>
        <v>0.74683544303797467</v>
      </c>
      <c r="G246" s="1340">
        <f>G245/F245-1</f>
        <v>2.4153623188405797</v>
      </c>
    </row>
    <row r="247" spans="3:7" ht="12.6" customHeight="1" thickBot="1" x14ac:dyDescent="0.3">
      <c r="C247" s="1294" t="s">
        <v>30</v>
      </c>
      <c r="D247" s="1342">
        <f>D52+D88+D138+D169+D202</f>
        <v>140000</v>
      </c>
      <c r="E247" s="1342">
        <f>E52+E88+E138+E169+E202</f>
        <v>140000</v>
      </c>
      <c r="F247" s="1342">
        <f>F52+F88+F138+F169+F202</f>
        <v>140000</v>
      </c>
      <c r="G247" s="1342">
        <f>G52+G88+G138+G169+G202</f>
        <v>14000</v>
      </c>
    </row>
    <row r="248" spans="3:7" ht="12.6" customHeight="1" thickBot="1" x14ac:dyDescent="0.3">
      <c r="C248" s="1341" t="s">
        <v>31</v>
      </c>
      <c r="D248" s="1296"/>
      <c r="E248" s="1340">
        <f>E247/D247-1</f>
        <v>0</v>
      </c>
      <c r="F248" s="1340">
        <f>F247/E247-1</f>
        <v>0</v>
      </c>
      <c r="G248" s="1340">
        <f>G247/F247-1</f>
        <v>-0.9</v>
      </c>
    </row>
    <row r="249" spans="3:7" ht="12.6" customHeight="1" thickBot="1" x14ac:dyDescent="0.3">
      <c r="C249" s="1294" t="s">
        <v>3</v>
      </c>
      <c r="D249" s="1342">
        <f>D53+D89+D139+D172+D203</f>
        <v>132000</v>
      </c>
      <c r="E249" s="1342">
        <f>E53+E89+E139+E172+E203</f>
        <v>200000</v>
      </c>
      <c r="F249" s="1342">
        <f>F53+F89+F139+F172+F203</f>
        <v>250000</v>
      </c>
      <c r="G249" s="1342">
        <f>G53+G89+G139+G172+G203</f>
        <v>300000</v>
      </c>
    </row>
    <row r="250" spans="3:7" ht="12.6" customHeight="1" thickBot="1" x14ac:dyDescent="0.3">
      <c r="C250" s="1341" t="s">
        <v>32</v>
      </c>
      <c r="D250" s="1296"/>
      <c r="E250" s="1340">
        <f>E249/D249-1</f>
        <v>0.51515151515151514</v>
      </c>
      <c r="F250" s="1340">
        <f>F249/E249-1</f>
        <v>0.25</v>
      </c>
      <c r="G250" s="1340">
        <f>G249/F249-1</f>
        <v>0.19999999999999996</v>
      </c>
    </row>
    <row r="251" spans="3:7" ht="12.6" customHeight="1" thickBot="1" x14ac:dyDescent="0.3">
      <c r="C251" s="1294" t="s">
        <v>18</v>
      </c>
      <c r="D251" s="1295">
        <f>D115+D225</f>
        <v>0</v>
      </c>
      <c r="E251" s="1295">
        <f>E115+E225</f>
        <v>0</v>
      </c>
      <c r="F251" s="1295">
        <f>F115+F225</f>
        <v>0</v>
      </c>
      <c r="G251" s="1295">
        <f>G115+G225</f>
        <v>0</v>
      </c>
    </row>
    <row r="252" spans="3:7" ht="12.6" customHeight="1" thickBot="1" x14ac:dyDescent="0.3">
      <c r="C252" s="1341" t="s">
        <v>33</v>
      </c>
      <c r="D252" s="1296"/>
      <c r="E252" s="1340"/>
      <c r="F252" s="1340"/>
      <c r="G252" s="1340"/>
    </row>
    <row r="253" spans="3:7" ht="12.6" customHeight="1" thickBot="1" x14ac:dyDescent="0.3">
      <c r="C253" s="1294" t="s">
        <v>19</v>
      </c>
      <c r="D253" s="1295">
        <f>D116+D226</f>
        <v>162122</v>
      </c>
      <c r="E253" s="1295">
        <f>E116+E226</f>
        <v>770000</v>
      </c>
      <c r="F253" s="1295">
        <f>F116+F226</f>
        <v>900000</v>
      </c>
      <c r="G253" s="1295">
        <f>G116+G226</f>
        <v>1100000</v>
      </c>
    </row>
    <row r="254" spans="3:7" ht="12.6" customHeight="1" thickBot="1" x14ac:dyDescent="0.3">
      <c r="C254" s="1341" t="s">
        <v>34</v>
      </c>
      <c r="D254" s="1296"/>
      <c r="E254" s="1340">
        <f>E253/D253-1</f>
        <v>3.7495096285513378</v>
      </c>
      <c r="F254" s="1340">
        <f>F253/E253-1</f>
        <v>0.16883116883116878</v>
      </c>
      <c r="G254" s="1340">
        <f>G253/F253-1</f>
        <v>0.22222222222222232</v>
      </c>
    </row>
    <row r="255" spans="3:7" ht="12.6" customHeight="1" thickBot="1" x14ac:dyDescent="0.3">
      <c r="C255" s="1344" t="s">
        <v>70</v>
      </c>
      <c r="D255" s="1342">
        <f>D237+D239+D241+D243+D245+D247+D249+D251+D253</f>
        <v>480422</v>
      </c>
      <c r="E255" s="1342">
        <f>E237+E239+E241+E243+E245+E247+E249+E251+E253</f>
        <v>1170000</v>
      </c>
      <c r="F255" s="1342">
        <f>F237+F239+F241+F243+F245+F247+F249+F251+F253</f>
        <v>1380000</v>
      </c>
      <c r="G255" s="1342">
        <f>G237+G239+G241+G243+G245+G247+G249+G251+G253</f>
        <v>1670960</v>
      </c>
    </row>
    <row r="256" spans="3:7" ht="10.9" customHeight="1" thickBot="1" x14ac:dyDescent="0.3">
      <c r="C256" s="1328" t="s">
        <v>55</v>
      </c>
      <c r="D256" s="1342">
        <v>18</v>
      </c>
      <c r="E256" s="1342">
        <v>18</v>
      </c>
      <c r="F256" s="1342">
        <v>18</v>
      </c>
      <c r="G256" s="1342">
        <v>18</v>
      </c>
    </row>
    <row r="257" spans="1:7" ht="12.6" customHeight="1" thickBot="1" x14ac:dyDescent="0.3">
      <c r="C257" s="1294" t="s">
        <v>64</v>
      </c>
      <c r="D257" s="1295">
        <v>0</v>
      </c>
      <c r="E257" s="1295">
        <v>0</v>
      </c>
      <c r="F257" s="1295">
        <v>0</v>
      </c>
      <c r="G257" s="1295">
        <v>0</v>
      </c>
    </row>
    <row r="258" spans="1:7" ht="12.6" customHeight="1" thickBot="1" x14ac:dyDescent="0.3">
      <c r="C258" s="1345"/>
      <c r="D258" s="1346"/>
      <c r="E258" s="1346"/>
      <c r="F258" s="1346"/>
      <c r="G258" s="1346"/>
    </row>
    <row r="259" spans="1:7" ht="12.6" customHeight="1" x14ac:dyDescent="0.25">
      <c r="A259" s="2876" t="s">
        <v>122</v>
      </c>
      <c r="B259" s="1347" t="s">
        <v>80</v>
      </c>
      <c r="C259" s="1348"/>
      <c r="D259" s="2876" t="s">
        <v>83</v>
      </c>
      <c r="E259" s="1347" t="s">
        <v>80</v>
      </c>
      <c r="F259" s="1348"/>
      <c r="G259" s="2876" t="s">
        <v>118</v>
      </c>
    </row>
    <row r="260" spans="1:7" ht="12.6" customHeight="1" x14ac:dyDescent="0.25">
      <c r="A260" s="2877"/>
      <c r="B260" s="1349" t="s">
        <v>81</v>
      </c>
      <c r="C260" s="1350"/>
      <c r="D260" s="2877"/>
      <c r="E260" s="1349" t="s">
        <v>81</v>
      </c>
      <c r="F260" s="1350"/>
      <c r="G260" s="2877"/>
    </row>
    <row r="261" spans="1:7" ht="12.6" customHeight="1" thickBot="1" x14ac:dyDescent="0.3">
      <c r="A261" s="2878"/>
      <c r="B261" s="1351" t="s">
        <v>82</v>
      </c>
      <c r="C261" s="1352"/>
      <c r="D261" s="2878"/>
      <c r="E261" s="1351" t="s">
        <v>82</v>
      </c>
      <c r="F261" s="1352"/>
      <c r="G261" s="2878"/>
    </row>
    <row r="262" spans="1:7" ht="12.6" customHeight="1" thickBot="1" x14ac:dyDescent="0.3">
      <c r="A262" s="1353"/>
      <c r="B262" s="621"/>
      <c r="C262" s="621"/>
      <c r="E262" s="1353"/>
      <c r="F262" s="621"/>
      <c r="G262" s="621"/>
    </row>
    <row r="263" spans="1:7" ht="12.6" customHeight="1" thickBot="1" x14ac:dyDescent="0.3">
      <c r="A263" s="1353"/>
      <c r="B263" s="621"/>
      <c r="C263" s="1354" t="s">
        <v>86</v>
      </c>
      <c r="E263" s="1353"/>
      <c r="F263" s="621"/>
      <c r="G263" s="621"/>
    </row>
    <row r="264" spans="1:7" ht="12.6" customHeight="1" x14ac:dyDescent="0.25">
      <c r="A264" s="1353"/>
      <c r="B264" s="621"/>
      <c r="C264" s="2885" t="s">
        <v>123</v>
      </c>
      <c r="D264" s="2886"/>
      <c r="E264" s="2886"/>
      <c r="F264" s="2886"/>
      <c r="G264" s="2887"/>
    </row>
    <row r="265" spans="1:7" ht="12.6" customHeight="1" x14ac:dyDescent="0.25">
      <c r="A265" s="1353"/>
      <c r="B265" s="621"/>
      <c r="C265" s="2888" t="s">
        <v>124</v>
      </c>
      <c r="D265" s="2889"/>
      <c r="E265" s="2889"/>
      <c r="F265" s="2889"/>
      <c r="G265" s="2890"/>
    </row>
    <row r="266" spans="1:7" ht="12.6" customHeight="1" x14ac:dyDescent="0.25">
      <c r="C266" s="2891" t="s">
        <v>125</v>
      </c>
      <c r="D266" s="2892"/>
      <c r="E266" s="2892"/>
      <c r="F266" s="2892"/>
      <c r="G266" s="2893"/>
    </row>
    <row r="267" spans="1:7" ht="12.6" customHeight="1" x14ac:dyDescent="0.25">
      <c r="C267" s="2891" t="s">
        <v>126</v>
      </c>
      <c r="D267" s="2892"/>
      <c r="E267" s="2892"/>
      <c r="F267" s="2892"/>
      <c r="G267" s="2893"/>
    </row>
    <row r="268" spans="1:7" ht="12.6" customHeight="1" x14ac:dyDescent="0.25">
      <c r="C268" s="2891" t="s">
        <v>115</v>
      </c>
      <c r="D268" s="2892"/>
      <c r="E268" s="2892"/>
      <c r="F268" s="2892"/>
      <c r="G268" s="2893"/>
    </row>
    <row r="269" spans="1:7" ht="12.6" customHeight="1" x14ac:dyDescent="0.25">
      <c r="C269" s="2894" t="s">
        <v>993</v>
      </c>
      <c r="D269" s="2892"/>
      <c r="E269" s="2892"/>
      <c r="F269" s="2892"/>
      <c r="G269" s="2893"/>
    </row>
    <row r="270" spans="1:7" ht="12.6" customHeight="1" thickBot="1" x14ac:dyDescent="0.3">
      <c r="C270" s="2879" t="s">
        <v>79</v>
      </c>
      <c r="D270" s="2880"/>
      <c r="E270" s="2880"/>
      <c r="F270" s="2880"/>
      <c r="G270" s="2881"/>
    </row>
    <row r="272" spans="1:7" ht="12.6" customHeight="1" x14ac:dyDescent="0.25">
      <c r="C272" s="1285" t="s">
        <v>96</v>
      </c>
      <c r="D272" s="2882" t="s">
        <v>483</v>
      </c>
      <c r="E272" s="2883"/>
      <c r="F272" s="2883"/>
      <c r="G272" s="2884"/>
    </row>
    <row r="273" spans="3:7" ht="12.6" customHeight="1" x14ac:dyDescent="0.25">
      <c r="C273" s="1355"/>
      <c r="D273" s="1355"/>
      <c r="E273" s="1355"/>
      <c r="F273" s="1355"/>
      <c r="G273" s="1355"/>
    </row>
    <row r="274" spans="3:7" ht="12.6" customHeight="1" x14ac:dyDescent="0.25">
      <c r="C274" s="1356"/>
      <c r="D274" s="1285" t="s">
        <v>6</v>
      </c>
      <c r="E274" s="2882" t="s">
        <v>97</v>
      </c>
      <c r="F274" s="2883"/>
      <c r="G274" s="2884"/>
    </row>
    <row r="275" spans="3:7" ht="12.6" customHeight="1" x14ac:dyDescent="0.25">
      <c r="C275" s="1285" t="s">
        <v>89</v>
      </c>
      <c r="D275" s="1357">
        <v>2018</v>
      </c>
      <c r="E275" s="1358">
        <v>2019</v>
      </c>
      <c r="F275" s="1358">
        <v>2020</v>
      </c>
      <c r="G275" s="1358">
        <v>2021</v>
      </c>
    </row>
    <row r="276" spans="3:7" ht="12.6" customHeight="1" x14ac:dyDescent="0.25">
      <c r="C276" s="1285" t="s">
        <v>90</v>
      </c>
      <c r="D276" s="1359">
        <f>20160-2660</f>
        <v>17500</v>
      </c>
      <c r="E276" s="1359">
        <v>20160</v>
      </c>
      <c r="F276" s="1359">
        <v>20160</v>
      </c>
      <c r="G276" s="1359">
        <v>20160</v>
      </c>
    </row>
    <row r="277" spans="3:7" ht="12.6" customHeight="1" x14ac:dyDescent="0.25">
      <c r="C277" s="1285" t="s">
        <v>91</v>
      </c>
      <c r="D277" s="1359">
        <f>378344-77544</f>
        <v>300800</v>
      </c>
      <c r="E277" s="1359">
        <f>400800-70960</f>
        <v>329840</v>
      </c>
      <c r="F277" s="1360">
        <f>400800-40960</f>
        <v>359840</v>
      </c>
      <c r="G277" s="1360">
        <f>400800</f>
        <v>400800</v>
      </c>
    </row>
    <row r="278" spans="3:7" ht="12.6" customHeight="1" x14ac:dyDescent="0.25">
      <c r="C278" s="1285" t="s">
        <v>92</v>
      </c>
      <c r="D278" s="1361">
        <v>62122</v>
      </c>
      <c r="E278" s="1362">
        <v>370000</v>
      </c>
      <c r="F278" s="1363">
        <v>400000</v>
      </c>
      <c r="G278" s="1363">
        <v>400000</v>
      </c>
    </row>
    <row r="279" spans="3:7" ht="12.6" customHeight="1" x14ac:dyDescent="0.25">
      <c r="C279" s="1285" t="s">
        <v>93</v>
      </c>
      <c r="D279" s="1359">
        <v>100000</v>
      </c>
      <c r="E279" s="1359">
        <v>100000</v>
      </c>
      <c r="F279" s="1360">
        <v>100000</v>
      </c>
      <c r="G279" s="1360">
        <v>100000</v>
      </c>
    </row>
    <row r="280" spans="3:7" ht="12.6" customHeight="1" x14ac:dyDescent="0.25">
      <c r="C280" s="1285" t="s">
        <v>94</v>
      </c>
      <c r="D280" s="1364"/>
      <c r="E280" s="1364"/>
      <c r="F280" s="1364"/>
      <c r="G280" s="1364"/>
    </row>
    <row r="281" spans="3:7" ht="12.6" customHeight="1" x14ac:dyDescent="0.25">
      <c r="C281" s="1285" t="s">
        <v>95</v>
      </c>
      <c r="D281" s="1365">
        <f>SUM(D276:D280)</f>
        <v>480422</v>
      </c>
      <c r="E281" s="1365">
        <f>SUM(E276:E280)</f>
        <v>820000</v>
      </c>
      <c r="F281" s="1365">
        <f>SUM(F276:F280)</f>
        <v>880000</v>
      </c>
      <c r="G281" s="1365">
        <f>SUM(G276:G280)</f>
        <v>920960</v>
      </c>
    </row>
    <row r="282" spans="3:7" ht="12.6" customHeight="1" x14ac:dyDescent="0.25">
      <c r="C282" s="1378" t="s">
        <v>998</v>
      </c>
    </row>
  </sheetData>
  <mergeCells count="81">
    <mergeCell ref="C270:G270"/>
    <mergeCell ref="D272:G272"/>
    <mergeCell ref="E274:G274"/>
    <mergeCell ref="C264:G264"/>
    <mergeCell ref="C265:G265"/>
    <mergeCell ref="C266:G266"/>
    <mergeCell ref="C267:G267"/>
    <mergeCell ref="C268:G268"/>
    <mergeCell ref="C269:G269"/>
    <mergeCell ref="C223:C224"/>
    <mergeCell ref="C229:C231"/>
    <mergeCell ref="D229:G231"/>
    <mergeCell ref="A259:A261"/>
    <mergeCell ref="D259:D261"/>
    <mergeCell ref="G259:G261"/>
    <mergeCell ref="C222:G222"/>
    <mergeCell ref="D185:G185"/>
    <mergeCell ref="C186:C187"/>
    <mergeCell ref="C194:G194"/>
    <mergeCell ref="C195:C196"/>
    <mergeCell ref="C208:G208"/>
    <mergeCell ref="C209:G209"/>
    <mergeCell ref="D210:G210"/>
    <mergeCell ref="D211:G211"/>
    <mergeCell ref="D212:G212"/>
    <mergeCell ref="D213:G213"/>
    <mergeCell ref="C214:C215"/>
    <mergeCell ref="D184:G184"/>
    <mergeCell ref="D150:G150"/>
    <mergeCell ref="D151:G151"/>
    <mergeCell ref="D152:G152"/>
    <mergeCell ref="C153:C154"/>
    <mergeCell ref="C161:G161"/>
    <mergeCell ref="C162:C163"/>
    <mergeCell ref="D175:G175"/>
    <mergeCell ref="C176:G176"/>
    <mergeCell ref="C181:G181"/>
    <mergeCell ref="C182:G182"/>
    <mergeCell ref="D183:G183"/>
    <mergeCell ref="C149:G149"/>
    <mergeCell ref="C112:G112"/>
    <mergeCell ref="C113:C114"/>
    <mergeCell ref="D119:G119"/>
    <mergeCell ref="D120:G120"/>
    <mergeCell ref="D121:G121"/>
    <mergeCell ref="C122:C123"/>
    <mergeCell ref="C130:G130"/>
    <mergeCell ref="C131:C132"/>
    <mergeCell ref="D142:G142"/>
    <mergeCell ref="C143:G143"/>
    <mergeCell ref="C148:G148"/>
    <mergeCell ref="C104:C105"/>
    <mergeCell ref="D69:G69"/>
    <mergeCell ref="D70:G70"/>
    <mergeCell ref="D71:G71"/>
    <mergeCell ref="C72:C73"/>
    <mergeCell ref="D92:G92"/>
    <mergeCell ref="C93:G93"/>
    <mergeCell ref="C99:G99"/>
    <mergeCell ref="C100:G100"/>
    <mergeCell ref="D101:G101"/>
    <mergeCell ref="D102:G102"/>
    <mergeCell ref="D103:G103"/>
    <mergeCell ref="C68:G68"/>
    <mergeCell ref="C9:G9"/>
    <mergeCell ref="D10:G10"/>
    <mergeCell ref="C11:C12"/>
    <mergeCell ref="D24:G24"/>
    <mergeCell ref="C25:G25"/>
    <mergeCell ref="D34:G34"/>
    <mergeCell ref="D35:G35"/>
    <mergeCell ref="C36:C37"/>
    <mergeCell ref="D56:G56"/>
    <mergeCell ref="C57:G57"/>
    <mergeCell ref="C67:G67"/>
    <mergeCell ref="C8:G8"/>
    <mergeCell ref="C2:G2"/>
    <mergeCell ref="C3:G3"/>
    <mergeCell ref="D5:G5"/>
    <mergeCell ref="D6:G6"/>
    <mergeCell ref="D7:G7"/>
  </mergeCells>
  <printOptions horizontalCentered="1" verticalCentered="1"/>
  <pageMargins left="7.874015748031496E-2" right="7.874015748031496E-2" top="0.43307086614173229" bottom="0.43307086614173229" header="0.31496062992125984" footer="0.31496062992125984"/>
  <pageSetup scale="71" orientation="portrait" r:id="rId1"/>
  <colBreaks count="1" manualBreakCount="1">
    <brk id="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238"/>
  <sheetViews>
    <sheetView topLeftCell="A220" zoomScale="112" zoomScaleNormal="112" workbookViewId="0">
      <selection activeCell="D171" sqref="D171:G176"/>
    </sheetView>
  </sheetViews>
  <sheetFormatPr defaultColWidth="8.85546875" defaultRowHeight="20.100000000000001" customHeight="1" x14ac:dyDescent="0.25"/>
  <cols>
    <col min="1" max="1" width="3.28515625" style="1783" customWidth="1"/>
    <col min="2" max="2" width="6.5703125" style="1783" customWidth="1"/>
    <col min="3" max="3" width="46" style="1783" customWidth="1"/>
    <col min="4" max="4" width="19.28515625" style="1784" customWidth="1"/>
    <col min="5" max="5" width="21.42578125" style="1784" customWidth="1"/>
    <col min="6" max="6" width="18.5703125" style="1784" customWidth="1"/>
    <col min="7" max="7" width="21.7109375" style="1784" customWidth="1"/>
    <col min="8" max="16384" width="8.85546875" style="1783"/>
  </cols>
  <sheetData>
    <row r="1" spans="1:7" ht="20.100000000000001" customHeight="1" x14ac:dyDescent="0.25">
      <c r="A1" s="1785"/>
      <c r="B1" s="1785"/>
      <c r="C1" s="1785"/>
      <c r="D1" s="1823"/>
      <c r="E1" s="1823"/>
      <c r="F1" s="1823"/>
      <c r="G1" s="1823"/>
    </row>
    <row r="2" spans="1:7" ht="20.100000000000001" customHeight="1" x14ac:dyDescent="0.25">
      <c r="A2" s="1785"/>
      <c r="B2" s="1785"/>
      <c r="C2" s="2942" t="s">
        <v>128</v>
      </c>
      <c r="D2" s="2942"/>
      <c r="E2" s="2942"/>
      <c r="F2" s="2942"/>
      <c r="G2" s="2942"/>
    </row>
    <row r="3" spans="1:7" ht="20.100000000000001" customHeight="1" thickBot="1" x14ac:dyDescent="0.3">
      <c r="A3" s="1785"/>
      <c r="B3" s="1785"/>
      <c r="C3" s="1785"/>
      <c r="D3" s="1823"/>
      <c r="E3" s="1823"/>
      <c r="F3" s="1823"/>
      <c r="G3" s="1823"/>
    </row>
    <row r="4" spans="1:7" ht="20.100000000000001" customHeight="1" thickBot="1" x14ac:dyDescent="0.3">
      <c r="A4" s="1785"/>
      <c r="B4" s="1785"/>
      <c r="C4" s="1824" t="s">
        <v>20</v>
      </c>
      <c r="D4" s="2912" t="s">
        <v>863</v>
      </c>
      <c r="E4" s="2913"/>
      <c r="F4" s="2913"/>
      <c r="G4" s="2913"/>
    </row>
    <row r="5" spans="1:7" ht="20.100000000000001" customHeight="1" thickBot="1" x14ac:dyDescent="0.3">
      <c r="A5" s="1785"/>
      <c r="B5" s="1785"/>
      <c r="C5" s="1824" t="s">
        <v>4</v>
      </c>
      <c r="D5" s="2924" t="s">
        <v>457</v>
      </c>
      <c r="E5" s="2925"/>
      <c r="F5" s="2925"/>
      <c r="G5" s="2926"/>
    </row>
    <row r="6" spans="1:7" ht="20.100000000000001" customHeight="1" thickBot="1" x14ac:dyDescent="0.3">
      <c r="A6" s="1785"/>
      <c r="B6" s="1785"/>
      <c r="C6" s="1824" t="s">
        <v>35</v>
      </c>
      <c r="D6" s="2927" t="s">
        <v>5</v>
      </c>
      <c r="E6" s="2928"/>
      <c r="F6" s="2928"/>
      <c r="G6" s="2929"/>
    </row>
    <row r="7" spans="1:7" ht="20.100000000000001" customHeight="1" thickBot="1" x14ac:dyDescent="0.3">
      <c r="A7" s="1785"/>
      <c r="B7" s="1785"/>
      <c r="C7" s="2904" t="s">
        <v>8</v>
      </c>
      <c r="D7" s="2905"/>
      <c r="E7" s="2905"/>
      <c r="F7" s="2905"/>
      <c r="G7" s="2906"/>
    </row>
    <row r="8" spans="1:7" ht="78.75" customHeight="1" thickBot="1" x14ac:dyDescent="0.3">
      <c r="A8" s="1785"/>
      <c r="B8" s="1785"/>
      <c r="C8" s="2909" t="s">
        <v>552</v>
      </c>
      <c r="D8" s="2910"/>
      <c r="E8" s="2910"/>
      <c r="F8" s="2910"/>
      <c r="G8" s="2911"/>
    </row>
    <row r="9" spans="1:7" ht="165" customHeight="1" thickBot="1" x14ac:dyDescent="0.3">
      <c r="A9" s="1785"/>
      <c r="B9" s="1785"/>
      <c r="C9" s="1824" t="s">
        <v>11</v>
      </c>
      <c r="D9" s="2910" t="s">
        <v>1187</v>
      </c>
      <c r="E9" s="2913"/>
      <c r="F9" s="2913"/>
      <c r="G9" s="2914"/>
    </row>
    <row r="10" spans="1:7" ht="20.100000000000001" customHeight="1" x14ac:dyDescent="0.25">
      <c r="A10" s="1785"/>
      <c r="B10" s="1785"/>
      <c r="C10" s="2907" t="s">
        <v>119</v>
      </c>
      <c r="D10" s="2921" t="s">
        <v>1191</v>
      </c>
      <c r="E10" s="2921" t="s">
        <v>1192</v>
      </c>
      <c r="F10" s="2921" t="s">
        <v>1193</v>
      </c>
      <c r="G10" s="2921" t="s">
        <v>1194</v>
      </c>
    </row>
    <row r="11" spans="1:7" ht="20.100000000000001" customHeight="1" thickBot="1" x14ac:dyDescent="0.3">
      <c r="A11" s="1785"/>
      <c r="B11" s="1785"/>
      <c r="C11" s="2908"/>
      <c r="D11" s="2922"/>
      <c r="E11" s="2922"/>
      <c r="F11" s="2922"/>
      <c r="G11" s="2922"/>
    </row>
    <row r="12" spans="1:7" ht="20.100000000000001" customHeight="1" thickBot="1" x14ac:dyDescent="0.3">
      <c r="A12" s="1785"/>
      <c r="B12" s="1785"/>
      <c r="C12" s="2015" t="s">
        <v>859</v>
      </c>
      <c r="D12" s="2016">
        <v>1.2519387353631636E-2</v>
      </c>
      <c r="E12" s="2016">
        <v>2.0861932095276037E-2</v>
      </c>
      <c r="F12" s="2016">
        <v>2.1519049249278624E-2</v>
      </c>
      <c r="G12" s="2016">
        <v>2.2653613420573621E-2</v>
      </c>
    </row>
    <row r="13" spans="1:7" ht="20.100000000000001" customHeight="1" thickBot="1" x14ac:dyDescent="0.3">
      <c r="A13" s="1785"/>
      <c r="B13" s="1785"/>
      <c r="C13" s="2017" t="s">
        <v>687</v>
      </c>
      <c r="D13" s="2018">
        <v>2.9117331898140069E-4</v>
      </c>
      <c r="E13" s="2018">
        <v>4.672385970990181E-4</v>
      </c>
      <c r="F13" s="2018">
        <v>4.6983975794709923E-4</v>
      </c>
      <c r="G13" s="2018">
        <v>4.604008110604976E-4</v>
      </c>
    </row>
    <row r="14" spans="1:7" ht="20.100000000000001" customHeight="1" thickBot="1" x14ac:dyDescent="0.3">
      <c r="A14" s="1785"/>
      <c r="B14" s="1785"/>
      <c r="C14" s="2017" t="s">
        <v>686</v>
      </c>
      <c r="D14" s="2018">
        <v>9.6650967974265143E-4</v>
      </c>
      <c r="E14" s="2018">
        <v>1.5659942440162788E-3</v>
      </c>
      <c r="F14" s="2018">
        <v>1.6006926633706949E-3</v>
      </c>
      <c r="G14" s="2018">
        <v>1.6103064086334356E-3</v>
      </c>
    </row>
    <row r="15" spans="1:7" ht="20.100000000000001" customHeight="1" thickBot="1" x14ac:dyDescent="0.3">
      <c r="A15" s="1785"/>
      <c r="B15" s="1785"/>
      <c r="C15" s="2017" t="s">
        <v>858</v>
      </c>
      <c r="D15" s="2019">
        <v>480422</v>
      </c>
      <c r="E15" s="2019">
        <v>820000</v>
      </c>
      <c r="F15" s="2019">
        <v>880000</v>
      </c>
      <c r="G15" s="2019">
        <v>920960</v>
      </c>
    </row>
    <row r="16" spans="1:7" ht="20.100000000000001" customHeight="1" thickBot="1" x14ac:dyDescent="0.3">
      <c r="A16" s="1785"/>
      <c r="B16" s="1785"/>
      <c r="C16" s="2020" t="s">
        <v>862</v>
      </c>
      <c r="D16" s="2019">
        <v>12186945</v>
      </c>
      <c r="E16" s="2019">
        <v>12834691</v>
      </c>
      <c r="F16" s="2019">
        <v>13429951</v>
      </c>
      <c r="G16" s="2019">
        <v>13659951</v>
      </c>
    </row>
    <row r="17" spans="1:7" ht="20.100000000000001" customHeight="1" thickBot="1" x14ac:dyDescent="0.3">
      <c r="A17" s="1785"/>
      <c r="B17" s="1785"/>
      <c r="C17" s="2017" t="s">
        <v>861</v>
      </c>
      <c r="D17" s="2018">
        <v>0.31758138701475852</v>
      </c>
      <c r="E17" s="2018">
        <v>0.32653225866567132</v>
      </c>
      <c r="F17" s="2018">
        <v>0.32840883748227123</v>
      </c>
      <c r="G17" s="2018">
        <v>0.3360050917498893</v>
      </c>
    </row>
    <row r="18" spans="1:7" ht="20.100000000000001" customHeight="1" thickBot="1" x14ac:dyDescent="0.3">
      <c r="A18" s="1785"/>
      <c r="B18" s="1785"/>
      <c r="C18" s="2017" t="s">
        <v>687</v>
      </c>
      <c r="D18" s="2018">
        <v>7.3862421452260433E-3</v>
      </c>
      <c r="E18" s="2018">
        <v>7.3132475817553584E-3</v>
      </c>
      <c r="F18" s="2018">
        <v>7.1703692353197769E-3</v>
      </c>
      <c r="G18" s="2018">
        <v>6.8288009462372469E-3</v>
      </c>
    </row>
    <row r="19" spans="1:7" ht="20.100000000000001" customHeight="1" thickBot="1" x14ac:dyDescent="0.3">
      <c r="A19" s="1785"/>
      <c r="B19" s="1785"/>
      <c r="C19" s="2017" t="s">
        <v>686</v>
      </c>
      <c r="D19" s="2018">
        <v>2.4517612242968279E-2</v>
      </c>
      <c r="E19" s="2018">
        <v>2.4511039304545776E-2</v>
      </c>
      <c r="F19" s="2018">
        <v>2.4428663676281735E-2</v>
      </c>
      <c r="G19" s="2018">
        <v>2.3884540736751551E-2</v>
      </c>
    </row>
    <row r="20" spans="1:7" s="1785" customFormat="1" ht="27" customHeight="1" thickBot="1" x14ac:dyDescent="0.3">
      <c r="C20" s="1831" t="s">
        <v>12</v>
      </c>
      <c r="D20" s="2918" t="s">
        <v>860</v>
      </c>
      <c r="E20" s="2919"/>
      <c r="F20" s="2919"/>
      <c r="G20" s="2920"/>
    </row>
    <row r="21" spans="1:7" ht="20.100000000000001" customHeight="1" thickBot="1" x14ac:dyDescent="0.3">
      <c r="A21" s="1785"/>
      <c r="B21" s="1785"/>
      <c r="C21" s="2909" t="s">
        <v>120</v>
      </c>
      <c r="D21" s="2910"/>
      <c r="E21" s="2910"/>
      <c r="F21" s="2910"/>
      <c r="G21" s="2911"/>
    </row>
    <row r="22" spans="1:7" ht="20.100000000000001" customHeight="1" thickBot="1" x14ac:dyDescent="0.3">
      <c r="A22" s="1785"/>
      <c r="B22" s="1785"/>
      <c r="C22" s="2021"/>
      <c r="D22" s="2022">
        <v>2018</v>
      </c>
      <c r="E22" s="2022">
        <v>2019</v>
      </c>
      <c r="F22" s="2022">
        <v>2020</v>
      </c>
      <c r="G22" s="2023">
        <v>2021</v>
      </c>
    </row>
    <row r="23" spans="1:7" ht="20.100000000000001" customHeight="1" thickBot="1" x14ac:dyDescent="0.3">
      <c r="A23" s="1785"/>
      <c r="B23" s="1785"/>
      <c r="C23" s="2024" t="s">
        <v>859</v>
      </c>
      <c r="D23" s="2025">
        <v>1.2519387353631636E-2</v>
      </c>
      <c r="E23" s="2025">
        <v>2.0861932095276037E-2</v>
      </c>
      <c r="F23" s="2025">
        <v>2.1519049249278624E-2</v>
      </c>
      <c r="G23" s="2026">
        <v>2.2653613420573621E-2</v>
      </c>
    </row>
    <row r="24" spans="1:7" ht="20.100000000000001" customHeight="1" thickBot="1" x14ac:dyDescent="0.3">
      <c r="A24" s="1785"/>
      <c r="B24" s="1785"/>
      <c r="C24" s="2024" t="s">
        <v>687</v>
      </c>
      <c r="D24" s="2025">
        <v>2.9117331898140069E-4</v>
      </c>
      <c r="E24" s="2025">
        <v>4.672385970990181E-4</v>
      </c>
      <c r="F24" s="2025">
        <v>4.6983975794709923E-4</v>
      </c>
      <c r="G24" s="2026">
        <v>4.604008110604976E-4</v>
      </c>
    </row>
    <row r="25" spans="1:7" ht="20.100000000000001" customHeight="1" thickBot="1" x14ac:dyDescent="0.3">
      <c r="A25" s="1785"/>
      <c r="B25" s="1785"/>
      <c r="C25" s="2024" t="s">
        <v>686</v>
      </c>
      <c r="D25" s="2025">
        <v>9.6650967974265143E-4</v>
      </c>
      <c r="E25" s="2025">
        <v>1.5659942440162788E-3</v>
      </c>
      <c r="F25" s="2025">
        <v>1.6006926633706949E-3</v>
      </c>
      <c r="G25" s="2026">
        <v>1.6103064086334356E-3</v>
      </c>
    </row>
    <row r="26" spans="1:7" ht="20.100000000000001" customHeight="1" thickBot="1" x14ac:dyDescent="0.3">
      <c r="A26" s="1785"/>
      <c r="B26" s="1785"/>
      <c r="C26" s="2024" t="s">
        <v>858</v>
      </c>
      <c r="D26" s="2027">
        <v>480422</v>
      </c>
      <c r="E26" s="2027">
        <v>820000</v>
      </c>
      <c r="F26" s="2027">
        <v>880000</v>
      </c>
      <c r="G26" s="2028">
        <v>920960</v>
      </c>
    </row>
    <row r="27" spans="1:7" ht="47.25" customHeight="1" thickBot="1" x14ac:dyDescent="0.3">
      <c r="A27" s="1785"/>
      <c r="B27" s="1785"/>
      <c r="C27" s="1790" t="s">
        <v>45</v>
      </c>
      <c r="D27" s="2933" t="s">
        <v>857</v>
      </c>
      <c r="E27" s="2934"/>
      <c r="F27" s="2934"/>
      <c r="G27" s="2935"/>
    </row>
    <row r="28" spans="1:7" ht="45.75" customHeight="1" thickBot="1" x14ac:dyDescent="0.3">
      <c r="A28" s="1785"/>
      <c r="B28" s="1785"/>
      <c r="C28" s="1791" t="s">
        <v>10</v>
      </c>
      <c r="D28" s="2909" t="s">
        <v>857</v>
      </c>
      <c r="E28" s="2910"/>
      <c r="F28" s="2910"/>
      <c r="G28" s="2911"/>
    </row>
    <row r="29" spans="1:7" ht="36.75" customHeight="1" thickBot="1" x14ac:dyDescent="0.3">
      <c r="A29" s="1785"/>
      <c r="B29" s="1785"/>
      <c r="C29" s="1791" t="s">
        <v>13</v>
      </c>
      <c r="D29" s="2912" t="s">
        <v>856</v>
      </c>
      <c r="E29" s="2913"/>
      <c r="F29" s="2913"/>
      <c r="G29" s="2914"/>
    </row>
    <row r="30" spans="1:7" ht="20.100000000000001" customHeight="1" x14ac:dyDescent="0.25">
      <c r="A30" s="1785"/>
      <c r="B30" s="1785"/>
      <c r="C30" s="2907"/>
      <c r="D30" s="1832">
        <v>2018</v>
      </c>
      <c r="E30" s="1832">
        <v>2019</v>
      </c>
      <c r="F30" s="1832">
        <v>2020</v>
      </c>
      <c r="G30" s="1832">
        <v>2021</v>
      </c>
    </row>
    <row r="31" spans="1:7" ht="20.100000000000001" customHeight="1" thickBot="1" x14ac:dyDescent="0.3">
      <c r="A31" s="1785"/>
      <c r="B31" s="1785"/>
      <c r="C31" s="2908"/>
      <c r="D31" s="1833" t="s">
        <v>6</v>
      </c>
      <c r="E31" s="1833" t="s">
        <v>7</v>
      </c>
      <c r="F31" s="1833" t="s">
        <v>7</v>
      </c>
      <c r="G31" s="1833" t="s">
        <v>7</v>
      </c>
    </row>
    <row r="32" spans="1:7" ht="20.100000000000001" customHeight="1" thickBot="1" x14ac:dyDescent="0.3">
      <c r="A32" s="1785"/>
      <c r="B32" s="1785"/>
      <c r="C32" s="1791" t="s">
        <v>9</v>
      </c>
      <c r="D32" s="2029">
        <v>40</v>
      </c>
      <c r="E32" s="2029">
        <v>64</v>
      </c>
      <c r="F32" s="2029">
        <v>75</v>
      </c>
      <c r="G32" s="2029">
        <v>210</v>
      </c>
    </row>
    <row r="33" spans="1:7" ht="20.100000000000001" customHeight="1" thickBot="1" x14ac:dyDescent="0.3">
      <c r="A33" s="1785"/>
      <c r="B33" s="1785"/>
      <c r="C33" s="1791" t="s">
        <v>14</v>
      </c>
      <c r="D33" s="2030">
        <v>28300</v>
      </c>
      <c r="E33" s="2030">
        <v>49000</v>
      </c>
      <c r="F33" s="2030">
        <v>73800</v>
      </c>
      <c r="G33" s="2030">
        <v>231360</v>
      </c>
    </row>
    <row r="34" spans="1:7" ht="20.100000000000001" customHeight="1" thickBot="1" x14ac:dyDescent="0.3">
      <c r="A34" s="1785"/>
      <c r="B34" s="1785"/>
      <c r="C34" s="1791" t="s">
        <v>23</v>
      </c>
      <c r="D34" s="2030">
        <f>D33/D32</f>
        <v>707.5</v>
      </c>
      <c r="E34" s="2030">
        <f>E33/E32</f>
        <v>765.625</v>
      </c>
      <c r="F34" s="2030">
        <f>F33/F32</f>
        <v>984</v>
      </c>
      <c r="G34" s="2030">
        <f>G33/G32</f>
        <v>1101.7142857142858</v>
      </c>
    </row>
    <row r="35" spans="1:7" ht="20.100000000000001" customHeight="1" thickBot="1" x14ac:dyDescent="0.3">
      <c r="A35" s="1785"/>
      <c r="B35" s="1785"/>
      <c r="C35" s="1791" t="s">
        <v>15</v>
      </c>
      <c r="D35" s="2029"/>
      <c r="E35" s="2031">
        <f t="shared" ref="E35:G37" si="0">E32/D32-1</f>
        <v>0.60000000000000009</v>
      </c>
      <c r="F35" s="2031">
        <f t="shared" si="0"/>
        <v>0.171875</v>
      </c>
      <c r="G35" s="2031">
        <f t="shared" si="0"/>
        <v>1.7999999999999998</v>
      </c>
    </row>
    <row r="36" spans="1:7" ht="20.100000000000001" customHeight="1" thickBot="1" x14ac:dyDescent="0.3">
      <c r="A36" s="1785"/>
      <c r="B36" s="1785"/>
      <c r="C36" s="1791" t="s">
        <v>16</v>
      </c>
      <c r="D36" s="2029"/>
      <c r="E36" s="2031">
        <f t="shared" si="0"/>
        <v>0.73144876325088348</v>
      </c>
      <c r="F36" s="2031">
        <f t="shared" si="0"/>
        <v>0.50612244897959191</v>
      </c>
      <c r="G36" s="2031">
        <f t="shared" si="0"/>
        <v>2.1349593495934958</v>
      </c>
    </row>
    <row r="37" spans="1:7" ht="20.100000000000001" customHeight="1" thickBot="1" x14ac:dyDescent="0.3">
      <c r="A37" s="1785"/>
      <c r="B37" s="1785"/>
      <c r="C37" s="1791" t="s">
        <v>17</v>
      </c>
      <c r="D37" s="2029"/>
      <c r="E37" s="2031">
        <f t="shared" si="0"/>
        <v>8.2155477031802038E-2</v>
      </c>
      <c r="F37" s="2031">
        <f t="shared" si="0"/>
        <v>0.28522448979591841</v>
      </c>
      <c r="G37" s="2031">
        <f t="shared" si="0"/>
        <v>0.11962833914053439</v>
      </c>
    </row>
    <row r="38" spans="1:7" ht="20.100000000000001" customHeight="1" thickBot="1" x14ac:dyDescent="0.3">
      <c r="A38" s="1785"/>
      <c r="B38" s="1785"/>
      <c r="C38" s="1825" t="s">
        <v>1188</v>
      </c>
      <c r="D38" s="1826"/>
      <c r="E38" s="1826"/>
      <c r="F38" s="1826"/>
      <c r="G38" s="1827"/>
    </row>
    <row r="39" spans="1:7" ht="20.100000000000001" customHeight="1" x14ac:dyDescent="0.25">
      <c r="A39" s="1785"/>
      <c r="B39" s="1785"/>
      <c r="C39" s="1789"/>
      <c r="D39" s="1787">
        <v>2018</v>
      </c>
      <c r="E39" s="1787">
        <v>2019</v>
      </c>
      <c r="F39" s="1787">
        <v>2020</v>
      </c>
      <c r="G39" s="1787">
        <v>2021</v>
      </c>
    </row>
    <row r="40" spans="1:7" ht="20.100000000000001" customHeight="1" thickBot="1" x14ac:dyDescent="0.3">
      <c r="A40" s="1785"/>
      <c r="B40" s="1785"/>
      <c r="C40" s="1786"/>
      <c r="D40" s="1788" t="s">
        <v>6</v>
      </c>
      <c r="E40" s="1788" t="s">
        <v>7</v>
      </c>
      <c r="F40" s="1788" t="s">
        <v>7</v>
      </c>
      <c r="G40" s="1788" t="s">
        <v>7</v>
      </c>
    </row>
    <row r="41" spans="1:7" ht="20.100000000000001" customHeight="1" thickBot="1" x14ac:dyDescent="0.3">
      <c r="A41" s="1785"/>
      <c r="B41" s="1785"/>
      <c r="C41" s="1791" t="s">
        <v>0</v>
      </c>
      <c r="D41" s="1802">
        <v>14850</v>
      </c>
      <c r="E41" s="1802">
        <v>14850</v>
      </c>
      <c r="F41" s="1802">
        <v>14850</v>
      </c>
      <c r="G41" s="1802">
        <v>14850</v>
      </c>
    </row>
    <row r="42" spans="1:7" ht="20.100000000000001" customHeight="1" thickBot="1" x14ac:dyDescent="0.3">
      <c r="A42" s="1785"/>
      <c r="B42" s="1785"/>
      <c r="C42" s="1791" t="s">
        <v>49</v>
      </c>
      <c r="D42" s="1802">
        <v>2650</v>
      </c>
      <c r="E42" s="1802">
        <v>2650</v>
      </c>
      <c r="F42" s="1802">
        <v>2650</v>
      </c>
      <c r="G42" s="1802">
        <v>2650</v>
      </c>
    </row>
    <row r="43" spans="1:7" ht="20.100000000000001" customHeight="1" thickBot="1" x14ac:dyDescent="0.3">
      <c r="A43" s="1785"/>
      <c r="B43" s="1785"/>
      <c r="C43" s="1791" t="s">
        <v>1</v>
      </c>
      <c r="D43" s="1803">
        <v>10800</v>
      </c>
      <c r="E43" s="1802">
        <v>3000</v>
      </c>
      <c r="F43" s="1802">
        <v>3500</v>
      </c>
      <c r="G43" s="1802">
        <v>3800</v>
      </c>
    </row>
    <row r="44" spans="1:7" ht="20.100000000000001" customHeight="1" thickBot="1" x14ac:dyDescent="0.3">
      <c r="A44" s="1785"/>
      <c r="B44" s="1785"/>
      <c r="C44" s="1791" t="s">
        <v>2</v>
      </c>
      <c r="D44" s="1803">
        <v>0</v>
      </c>
      <c r="E44" s="1802">
        <v>0</v>
      </c>
      <c r="F44" s="1802"/>
      <c r="G44" s="1802"/>
    </row>
    <row r="45" spans="1:7" ht="20.100000000000001" customHeight="1" thickBot="1" x14ac:dyDescent="0.3">
      <c r="A45" s="1785"/>
      <c r="B45" s="1785"/>
      <c r="C45" s="1791" t="s">
        <v>28</v>
      </c>
      <c r="D45" s="1803"/>
      <c r="E45" s="1803">
        <v>28500</v>
      </c>
      <c r="F45" s="1803">
        <v>52800</v>
      </c>
      <c r="G45" s="1803">
        <v>210060</v>
      </c>
    </row>
    <row r="46" spans="1:7" ht="20.100000000000001" customHeight="1" thickBot="1" x14ac:dyDescent="0.3">
      <c r="A46" s="1785"/>
      <c r="B46" s="1785"/>
      <c r="C46" s="1791" t="s">
        <v>30</v>
      </c>
      <c r="D46" s="1803">
        <v>0</v>
      </c>
      <c r="E46" s="1802"/>
      <c r="F46" s="1802"/>
      <c r="G46" s="1802"/>
    </row>
    <row r="47" spans="1:7" ht="20.100000000000001" customHeight="1" thickBot="1" x14ac:dyDescent="0.3">
      <c r="A47" s="1785"/>
      <c r="B47" s="1785"/>
      <c r="C47" s="1791" t="s">
        <v>3</v>
      </c>
      <c r="D47" s="1803"/>
      <c r="E47" s="1803"/>
      <c r="F47" s="1803"/>
      <c r="G47" s="1803"/>
    </row>
    <row r="48" spans="1:7" ht="20.100000000000001" customHeight="1" thickBot="1" x14ac:dyDescent="0.3">
      <c r="A48" s="1785"/>
      <c r="B48" s="1785"/>
      <c r="C48" s="1804" t="s">
        <v>764</v>
      </c>
      <c r="D48" s="1803">
        <f>SUM(D41:D47)</f>
        <v>28300</v>
      </c>
      <c r="E48" s="1803">
        <f>SUM(E41:E47)</f>
        <v>49000</v>
      </c>
      <c r="F48" s="1803">
        <f>SUM(F41:F47)</f>
        <v>73800</v>
      </c>
      <c r="G48" s="1803">
        <f>SUM(G41:G47)</f>
        <v>231360</v>
      </c>
    </row>
    <row r="49" spans="1:7" ht="20.100000000000001" customHeight="1" thickBot="1" x14ac:dyDescent="0.3">
      <c r="A49" s="1785"/>
      <c r="B49" s="1785"/>
      <c r="C49" s="1790" t="s">
        <v>70</v>
      </c>
      <c r="D49" s="1805">
        <f>D48-D33</f>
        <v>0</v>
      </c>
      <c r="E49" s="1805">
        <f>E48-E33</f>
        <v>0</v>
      </c>
      <c r="F49" s="1805">
        <f>F48-F33</f>
        <v>0</v>
      </c>
      <c r="G49" s="1805">
        <f>G48-G33</f>
        <v>0</v>
      </c>
    </row>
    <row r="50" spans="1:7" s="1785" customFormat="1" ht="51" customHeight="1" thickBot="1" x14ac:dyDescent="0.3">
      <c r="C50" s="1831" t="s">
        <v>22</v>
      </c>
      <c r="D50" s="2939" t="s">
        <v>855</v>
      </c>
      <c r="E50" s="2940"/>
      <c r="F50" s="2940"/>
      <c r="G50" s="2941"/>
    </row>
    <row r="51" spans="1:7" ht="20.100000000000001" customHeight="1" thickBot="1" x14ac:dyDescent="0.3">
      <c r="A51" s="1785"/>
      <c r="B51" s="1785"/>
      <c r="C51" s="2909" t="s">
        <v>495</v>
      </c>
      <c r="D51" s="2910"/>
      <c r="E51" s="2910"/>
      <c r="F51" s="2910"/>
      <c r="G51" s="2911"/>
    </row>
    <row r="52" spans="1:7" ht="20.100000000000001" customHeight="1" thickBot="1" x14ac:dyDescent="0.3">
      <c r="A52" s="1785"/>
      <c r="B52" s="1785"/>
      <c r="C52" s="2032"/>
      <c r="D52" s="2033">
        <v>2018</v>
      </c>
      <c r="E52" s="2033">
        <v>2019</v>
      </c>
      <c r="F52" s="2033">
        <v>2020</v>
      </c>
      <c r="G52" s="2033">
        <v>2021</v>
      </c>
    </row>
    <row r="53" spans="1:7" ht="20.100000000000001" customHeight="1" thickBot="1" x14ac:dyDescent="0.3">
      <c r="A53" s="1785"/>
      <c r="B53" s="1785"/>
      <c r="C53" s="2032" t="s">
        <v>854</v>
      </c>
      <c r="D53" s="2034">
        <v>3000</v>
      </c>
      <c r="E53" s="2034">
        <v>3200</v>
      </c>
      <c r="F53" s="2034">
        <v>3400</v>
      </c>
      <c r="G53" s="2034">
        <v>3600</v>
      </c>
    </row>
    <row r="54" spans="1:7" ht="20.100000000000001" customHeight="1" thickBot="1" x14ac:dyDescent="0.3">
      <c r="A54" s="1785"/>
      <c r="B54" s="1785"/>
      <c r="C54" s="1829"/>
      <c r="D54" s="1830"/>
      <c r="E54" s="1830"/>
      <c r="F54" s="1830"/>
      <c r="G54" s="1828"/>
    </row>
    <row r="55" spans="1:7" ht="20.100000000000001" customHeight="1" thickBot="1" x14ac:dyDescent="0.3">
      <c r="A55" s="1785"/>
      <c r="B55" s="1785"/>
      <c r="C55" s="2904" t="s">
        <v>67</v>
      </c>
      <c r="D55" s="2905"/>
      <c r="E55" s="2905"/>
      <c r="F55" s="2905"/>
      <c r="G55" s="2906"/>
    </row>
    <row r="56" spans="1:7" ht="20.100000000000001" customHeight="1" thickBot="1" x14ac:dyDescent="0.3">
      <c r="A56" s="1785"/>
      <c r="B56" s="1785"/>
      <c r="C56" s="2904" t="s">
        <v>121</v>
      </c>
      <c r="D56" s="2905"/>
      <c r="E56" s="2905"/>
      <c r="F56" s="2905"/>
      <c r="G56" s="2906"/>
    </row>
    <row r="57" spans="1:7" ht="30.75" customHeight="1" thickBot="1" x14ac:dyDescent="0.3">
      <c r="A57" s="1785"/>
      <c r="B57" s="1785"/>
      <c r="C57" s="1790" t="s">
        <v>669</v>
      </c>
      <c r="D57" s="2909" t="s">
        <v>829</v>
      </c>
      <c r="E57" s="2910"/>
      <c r="F57" s="2910"/>
      <c r="G57" s="2911"/>
    </row>
    <row r="58" spans="1:7" ht="20.100000000000001" customHeight="1" thickBot="1" x14ac:dyDescent="0.3">
      <c r="A58" s="1785"/>
      <c r="B58" s="1785"/>
      <c r="C58" s="1791" t="s">
        <v>10</v>
      </c>
      <c r="D58" s="2909" t="s">
        <v>829</v>
      </c>
      <c r="E58" s="2910"/>
      <c r="F58" s="2910"/>
      <c r="G58" s="2911"/>
    </row>
    <row r="59" spans="1:7" ht="20.100000000000001" customHeight="1" thickBot="1" x14ac:dyDescent="0.3">
      <c r="A59" s="1785"/>
      <c r="B59" s="1785"/>
      <c r="C59" s="1791" t="s">
        <v>13</v>
      </c>
      <c r="D59" s="2912" t="s">
        <v>853</v>
      </c>
      <c r="E59" s="2913"/>
      <c r="F59" s="2913"/>
      <c r="G59" s="2914"/>
    </row>
    <row r="60" spans="1:7" ht="20.100000000000001" customHeight="1" x14ac:dyDescent="0.25">
      <c r="A60" s="1785"/>
      <c r="B60" s="1785"/>
      <c r="C60" s="2907"/>
      <c r="D60" s="1787">
        <v>2018</v>
      </c>
      <c r="E60" s="1787">
        <v>2019</v>
      </c>
      <c r="F60" s="1787">
        <v>2020</v>
      </c>
      <c r="G60" s="1787">
        <v>2021</v>
      </c>
    </row>
    <row r="61" spans="1:7" ht="20.100000000000001" customHeight="1" thickBot="1" x14ac:dyDescent="0.3">
      <c r="A61" s="1785"/>
      <c r="B61" s="1785"/>
      <c r="C61" s="2923"/>
      <c r="D61" s="1787" t="s">
        <v>6</v>
      </c>
      <c r="E61" s="1787" t="s">
        <v>7</v>
      </c>
      <c r="F61" s="1787" t="s">
        <v>7</v>
      </c>
      <c r="G61" s="1787" t="s">
        <v>7</v>
      </c>
    </row>
    <row r="62" spans="1:7" ht="20.100000000000001" customHeight="1" thickBot="1" x14ac:dyDescent="0.3">
      <c r="A62" s="1785"/>
      <c r="B62" s="1785"/>
      <c r="C62" s="1793" t="s">
        <v>9</v>
      </c>
      <c r="D62" s="2035">
        <v>20</v>
      </c>
      <c r="E62" s="2035">
        <v>12</v>
      </c>
      <c r="F62" s="2035">
        <v>15</v>
      </c>
      <c r="G62" s="2035">
        <v>20</v>
      </c>
    </row>
    <row r="63" spans="1:7" ht="20.100000000000001" customHeight="1" thickBot="1" x14ac:dyDescent="0.3">
      <c r="A63" s="1785"/>
      <c r="B63" s="1785"/>
      <c r="C63" s="1794" t="s">
        <v>14</v>
      </c>
      <c r="D63" s="2036">
        <v>17200</v>
      </c>
      <c r="E63" s="2036">
        <v>10000</v>
      </c>
      <c r="F63" s="2036">
        <v>15000</v>
      </c>
      <c r="G63" s="2036">
        <v>24000</v>
      </c>
    </row>
    <row r="64" spans="1:7" ht="20.100000000000001" customHeight="1" thickBot="1" x14ac:dyDescent="0.3">
      <c r="A64" s="1785"/>
      <c r="B64" s="1785"/>
      <c r="C64" s="1794" t="s">
        <v>23</v>
      </c>
      <c r="D64" s="2036">
        <f>D63/D62</f>
        <v>860</v>
      </c>
      <c r="E64" s="2036">
        <f>E63/E62</f>
        <v>833.33333333333337</v>
      </c>
      <c r="F64" s="2036">
        <f>F63/F62</f>
        <v>1000</v>
      </c>
      <c r="G64" s="2036">
        <f>G63/G62</f>
        <v>1200</v>
      </c>
    </row>
    <row r="65" spans="1:7" ht="20.100000000000001" customHeight="1" thickBot="1" x14ac:dyDescent="0.3">
      <c r="A65" s="1785"/>
      <c r="B65" s="1785"/>
      <c r="C65" s="1794" t="s">
        <v>15</v>
      </c>
      <c r="D65" s="2035"/>
      <c r="E65" s="2037">
        <f t="shared" ref="E65:G67" si="1">E62/D62-1</f>
        <v>-0.4</v>
      </c>
      <c r="F65" s="2037">
        <f t="shared" si="1"/>
        <v>0.25</v>
      </c>
      <c r="G65" s="2037">
        <f t="shared" si="1"/>
        <v>0.33333333333333326</v>
      </c>
    </row>
    <row r="66" spans="1:7" ht="20.100000000000001" customHeight="1" thickBot="1" x14ac:dyDescent="0.3">
      <c r="A66" s="1785"/>
      <c r="B66" s="1785"/>
      <c r="C66" s="1794" t="s">
        <v>16</v>
      </c>
      <c r="D66" s="2035"/>
      <c r="E66" s="2037">
        <f t="shared" si="1"/>
        <v>-0.41860465116279066</v>
      </c>
      <c r="F66" s="2037">
        <f t="shared" si="1"/>
        <v>0.5</v>
      </c>
      <c r="G66" s="2037">
        <f t="shared" si="1"/>
        <v>0.60000000000000009</v>
      </c>
    </row>
    <row r="67" spans="1:7" ht="20.100000000000001" customHeight="1" thickBot="1" x14ac:dyDescent="0.3">
      <c r="A67" s="1785"/>
      <c r="B67" s="1785"/>
      <c r="C67" s="1798" t="s">
        <v>17</v>
      </c>
      <c r="D67" s="2035"/>
      <c r="E67" s="2037">
        <f t="shared" si="1"/>
        <v>-3.100775193798444E-2</v>
      </c>
      <c r="F67" s="2037">
        <f t="shared" si="1"/>
        <v>0.19999999999999996</v>
      </c>
      <c r="G67" s="2037">
        <f t="shared" si="1"/>
        <v>0.19999999999999996</v>
      </c>
    </row>
    <row r="68" spans="1:7" ht="20.100000000000001" customHeight="1" thickBot="1" x14ac:dyDescent="0.3">
      <c r="A68" s="1785"/>
      <c r="B68" s="1785"/>
      <c r="C68" s="1799" t="s">
        <v>1189</v>
      </c>
      <c r="D68" s="1800"/>
      <c r="E68" s="1800"/>
      <c r="F68" s="1800"/>
      <c r="G68" s="1801"/>
    </row>
    <row r="69" spans="1:7" ht="20.100000000000001" customHeight="1" x14ac:dyDescent="0.25">
      <c r="A69" s="1785"/>
      <c r="B69" s="1785"/>
      <c r="C69" s="1789"/>
      <c r="D69" s="1787">
        <v>2018</v>
      </c>
      <c r="E69" s="1787">
        <v>2019</v>
      </c>
      <c r="F69" s="1787">
        <v>2020</v>
      </c>
      <c r="G69" s="1787">
        <v>2021</v>
      </c>
    </row>
    <row r="70" spans="1:7" ht="20.100000000000001" customHeight="1" thickBot="1" x14ac:dyDescent="0.3">
      <c r="A70" s="1785"/>
      <c r="B70" s="1785"/>
      <c r="C70" s="1786"/>
      <c r="D70" s="1788" t="s">
        <v>6</v>
      </c>
      <c r="E70" s="1788" t="s">
        <v>7</v>
      </c>
      <c r="F70" s="1788" t="s">
        <v>7</v>
      </c>
      <c r="G70" s="1788" t="s">
        <v>7</v>
      </c>
    </row>
    <row r="71" spans="1:7" ht="20.100000000000001" customHeight="1" thickBot="1" x14ac:dyDescent="0.3">
      <c r="A71" s="1785"/>
      <c r="B71" s="1785"/>
      <c r="C71" s="1791" t="s">
        <v>0</v>
      </c>
      <c r="D71" s="1802">
        <v>0</v>
      </c>
      <c r="E71" s="1802"/>
      <c r="F71" s="1802"/>
      <c r="G71" s="1802"/>
    </row>
    <row r="72" spans="1:7" ht="20.100000000000001" customHeight="1" thickBot="1" x14ac:dyDescent="0.3">
      <c r="A72" s="1785"/>
      <c r="B72" s="1785"/>
      <c r="C72" s="1791" t="s">
        <v>49</v>
      </c>
      <c r="D72" s="1802">
        <v>0</v>
      </c>
      <c r="E72" s="1802"/>
      <c r="F72" s="1802"/>
      <c r="G72" s="1802"/>
    </row>
    <row r="73" spans="1:7" ht="20.100000000000001" customHeight="1" thickBot="1" x14ac:dyDescent="0.3">
      <c r="A73" s="1785"/>
      <c r="B73" s="1785"/>
      <c r="C73" s="1791" t="s">
        <v>1</v>
      </c>
      <c r="D73" s="1803">
        <v>0</v>
      </c>
      <c r="E73" s="1802"/>
      <c r="F73" s="1802"/>
      <c r="G73" s="1802"/>
    </row>
    <row r="74" spans="1:7" ht="20.100000000000001" customHeight="1" thickBot="1" x14ac:dyDescent="0.3">
      <c r="A74" s="1785"/>
      <c r="B74" s="1785"/>
      <c r="C74" s="1791" t="s">
        <v>2</v>
      </c>
      <c r="D74" s="1803">
        <v>0</v>
      </c>
      <c r="E74" s="1802"/>
      <c r="F74" s="1802"/>
      <c r="G74" s="1802"/>
    </row>
    <row r="75" spans="1:7" ht="20.100000000000001" customHeight="1" thickBot="1" x14ac:dyDescent="0.3">
      <c r="A75" s="1785"/>
      <c r="B75" s="1785"/>
      <c r="C75" s="1791" t="s">
        <v>28</v>
      </c>
      <c r="D75" s="1803">
        <f>D63</f>
        <v>17200</v>
      </c>
      <c r="E75" s="1803">
        <f>E63</f>
        <v>10000</v>
      </c>
      <c r="F75" s="1803">
        <f>F63</f>
        <v>15000</v>
      </c>
      <c r="G75" s="1803">
        <f>G63</f>
        <v>24000</v>
      </c>
    </row>
    <row r="76" spans="1:7" ht="20.100000000000001" customHeight="1" thickBot="1" x14ac:dyDescent="0.3">
      <c r="A76" s="1785"/>
      <c r="B76" s="1785"/>
      <c r="C76" s="1791" t="s">
        <v>30</v>
      </c>
      <c r="D76" s="1803">
        <v>0</v>
      </c>
      <c r="E76" s="1802"/>
      <c r="F76" s="1802"/>
      <c r="G76" s="1802"/>
    </row>
    <row r="77" spans="1:7" ht="20.100000000000001" customHeight="1" thickBot="1" x14ac:dyDescent="0.3">
      <c r="A77" s="1785"/>
      <c r="B77" s="1785"/>
      <c r="C77" s="1791" t="s">
        <v>3</v>
      </c>
      <c r="D77" s="1803"/>
      <c r="E77" s="1803"/>
      <c r="F77" s="1803"/>
      <c r="G77" s="1803"/>
    </row>
    <row r="78" spans="1:7" ht="20.100000000000001" customHeight="1" thickBot="1" x14ac:dyDescent="0.3">
      <c r="A78" s="1785"/>
      <c r="B78" s="1785"/>
      <c r="C78" s="1804" t="s">
        <v>68</v>
      </c>
      <c r="D78" s="1803">
        <f>SUM(D71:D77)</f>
        <v>17200</v>
      </c>
      <c r="E78" s="1803">
        <f>SUM(E71:E77)</f>
        <v>10000</v>
      </c>
      <c r="F78" s="1803">
        <f>SUM(F71:F77)</f>
        <v>15000</v>
      </c>
      <c r="G78" s="1803">
        <f>SUM(G71:G77)</f>
        <v>24000</v>
      </c>
    </row>
    <row r="79" spans="1:7" ht="20.100000000000001" customHeight="1" thickBot="1" x14ac:dyDescent="0.3">
      <c r="A79" s="1785"/>
      <c r="B79" s="1785"/>
      <c r="C79" s="1790" t="s">
        <v>70</v>
      </c>
      <c r="D79" s="1805">
        <f>D78-D63</f>
        <v>0</v>
      </c>
      <c r="E79" s="1805">
        <f>E78-E63</f>
        <v>0</v>
      </c>
      <c r="F79" s="1805">
        <f>F78-F63</f>
        <v>0</v>
      </c>
      <c r="G79" s="1805">
        <f>G78-G63</f>
        <v>0</v>
      </c>
    </row>
    <row r="80" spans="1:7" s="1785" customFormat="1" ht="47.25" customHeight="1" thickBot="1" x14ac:dyDescent="0.3">
      <c r="C80" s="1831" t="s">
        <v>497</v>
      </c>
      <c r="D80" s="2939" t="s">
        <v>852</v>
      </c>
      <c r="E80" s="2940"/>
      <c r="F80" s="2940"/>
      <c r="G80" s="2941"/>
    </row>
    <row r="81" spans="1:7" ht="47.25" customHeight="1" thickBot="1" x14ac:dyDescent="0.3">
      <c r="A81" s="1785"/>
      <c r="B81" s="1785"/>
      <c r="C81" s="2909" t="s">
        <v>506</v>
      </c>
      <c r="D81" s="2910"/>
      <c r="E81" s="2910"/>
      <c r="F81" s="2910"/>
      <c r="G81" s="2911"/>
    </row>
    <row r="82" spans="1:7" ht="24.75" customHeight="1" thickBot="1" x14ac:dyDescent="0.3">
      <c r="A82" s="1785"/>
      <c r="B82" s="1785"/>
      <c r="C82" s="1824"/>
      <c r="D82" s="2033">
        <v>2018</v>
      </c>
      <c r="E82" s="2033">
        <v>2019</v>
      </c>
      <c r="F82" s="2033">
        <v>2020</v>
      </c>
      <c r="G82" s="2033">
        <v>2021</v>
      </c>
    </row>
    <row r="83" spans="1:7" ht="20.100000000000001" customHeight="1" thickBot="1" x14ac:dyDescent="0.3">
      <c r="A83" s="1785"/>
      <c r="B83" s="1785"/>
      <c r="C83" s="2032" t="s">
        <v>851</v>
      </c>
      <c r="D83" s="2038" t="s">
        <v>48</v>
      </c>
      <c r="E83" s="2038" t="s">
        <v>42</v>
      </c>
      <c r="F83" s="2038" t="s">
        <v>42</v>
      </c>
      <c r="G83" s="2038" t="s">
        <v>42</v>
      </c>
    </row>
    <row r="84" spans="1:7" ht="20.100000000000001" customHeight="1" thickBot="1" x14ac:dyDescent="0.3">
      <c r="A84" s="1785"/>
      <c r="B84" s="1785"/>
      <c r="C84" s="2904" t="s">
        <v>536</v>
      </c>
      <c r="D84" s="2905"/>
      <c r="E84" s="2905"/>
      <c r="F84" s="2905"/>
      <c r="G84" s="2906"/>
    </row>
    <row r="85" spans="1:7" ht="20.100000000000001" customHeight="1" thickBot="1" x14ac:dyDescent="0.3">
      <c r="A85" s="1785"/>
      <c r="B85" s="1785"/>
      <c r="C85" s="2904" t="s">
        <v>788</v>
      </c>
      <c r="D85" s="2905"/>
      <c r="E85" s="2905"/>
      <c r="F85" s="2905"/>
      <c r="G85" s="2906"/>
    </row>
    <row r="86" spans="1:7" ht="66" customHeight="1" thickBot="1" x14ac:dyDescent="0.3">
      <c r="A86" s="1785"/>
      <c r="B86" s="1785"/>
      <c r="C86" s="1790" t="s">
        <v>659</v>
      </c>
      <c r="D86" s="2909" t="s">
        <v>850</v>
      </c>
      <c r="E86" s="2910"/>
      <c r="F86" s="2910"/>
      <c r="G86" s="2911"/>
    </row>
    <row r="87" spans="1:7" ht="20.100000000000001" customHeight="1" thickBot="1" x14ac:dyDescent="0.3">
      <c r="A87" s="1785"/>
      <c r="B87" s="1785"/>
      <c r="C87" s="1791" t="s">
        <v>10</v>
      </c>
      <c r="D87" s="2909" t="s">
        <v>849</v>
      </c>
      <c r="E87" s="2910"/>
      <c r="F87" s="2910"/>
      <c r="G87" s="2911"/>
    </row>
    <row r="88" spans="1:7" ht="20.100000000000001" customHeight="1" thickBot="1" x14ac:dyDescent="0.3">
      <c r="A88" s="1785"/>
      <c r="B88" s="1785"/>
      <c r="C88" s="1791" t="s">
        <v>13</v>
      </c>
      <c r="D88" s="2912" t="s">
        <v>785</v>
      </c>
      <c r="E88" s="2913"/>
      <c r="F88" s="2913"/>
      <c r="G88" s="2914"/>
    </row>
    <row r="89" spans="1:7" ht="20.100000000000001" customHeight="1" x14ac:dyDescent="0.25">
      <c r="A89" s="1785"/>
      <c r="B89" s="1785"/>
      <c r="C89" s="2907"/>
      <c r="D89" s="1792">
        <v>2018</v>
      </c>
      <c r="E89" s="1792">
        <v>2019</v>
      </c>
      <c r="F89" s="1792">
        <v>2020</v>
      </c>
      <c r="G89" s="1792">
        <v>2021</v>
      </c>
    </row>
    <row r="90" spans="1:7" ht="20.100000000000001" customHeight="1" thickBot="1" x14ac:dyDescent="0.3">
      <c r="A90" s="1785"/>
      <c r="B90" s="1785"/>
      <c r="C90" s="2908"/>
      <c r="D90" s="1801" t="s">
        <v>6</v>
      </c>
      <c r="E90" s="1801" t="s">
        <v>7</v>
      </c>
      <c r="F90" s="1801" t="s">
        <v>7</v>
      </c>
      <c r="G90" s="1801" t="s">
        <v>7</v>
      </c>
    </row>
    <row r="91" spans="1:7" ht="20.100000000000001" customHeight="1" thickBot="1" x14ac:dyDescent="0.3">
      <c r="A91" s="1785"/>
      <c r="B91" s="1785"/>
      <c r="C91" s="1791" t="s">
        <v>9</v>
      </c>
      <c r="D91" s="2029">
        <v>20</v>
      </c>
      <c r="E91" s="2029">
        <v>50</v>
      </c>
      <c r="F91" s="2029">
        <v>50</v>
      </c>
      <c r="G91" s="2029">
        <v>50</v>
      </c>
    </row>
    <row r="92" spans="1:7" ht="20.100000000000001" customHeight="1" thickBot="1" x14ac:dyDescent="0.3">
      <c r="A92" s="1785"/>
      <c r="B92" s="1785"/>
      <c r="C92" s="1791" t="s">
        <v>14</v>
      </c>
      <c r="D92" s="2039">
        <v>62122</v>
      </c>
      <c r="E92" s="2039">
        <v>370000</v>
      </c>
      <c r="F92" s="2039">
        <v>400000</v>
      </c>
      <c r="G92" s="2039">
        <v>400000</v>
      </c>
    </row>
    <row r="93" spans="1:7" ht="20.100000000000001" customHeight="1" thickBot="1" x14ac:dyDescent="0.3">
      <c r="A93" s="1785"/>
      <c r="B93" s="1785"/>
      <c r="C93" s="1791" t="s">
        <v>23</v>
      </c>
      <c r="D93" s="2039">
        <f>D92/D91</f>
        <v>3106.1</v>
      </c>
      <c r="E93" s="2039">
        <f>E92/E91</f>
        <v>7400</v>
      </c>
      <c r="F93" s="2039">
        <f>F92/F91</f>
        <v>8000</v>
      </c>
      <c r="G93" s="2039">
        <f>G92/G91</f>
        <v>8000</v>
      </c>
    </row>
    <row r="94" spans="1:7" ht="20.100000000000001" customHeight="1" thickBot="1" x14ac:dyDescent="0.3">
      <c r="A94" s="1785"/>
      <c r="B94" s="1785"/>
      <c r="C94" s="1791" t="s">
        <v>15</v>
      </c>
      <c r="D94" s="2031"/>
      <c r="E94" s="2031">
        <f t="shared" ref="E94:G96" si="2">E91/D91-1</f>
        <v>1.5</v>
      </c>
      <c r="F94" s="2031">
        <f t="shared" si="2"/>
        <v>0</v>
      </c>
      <c r="G94" s="2031">
        <f t="shared" si="2"/>
        <v>0</v>
      </c>
    </row>
    <row r="95" spans="1:7" ht="20.100000000000001" customHeight="1" thickBot="1" x14ac:dyDescent="0.3">
      <c r="A95" s="1785"/>
      <c r="B95" s="1785"/>
      <c r="C95" s="1791" t="s">
        <v>16</v>
      </c>
      <c r="D95" s="2031"/>
      <c r="E95" s="2031">
        <f t="shared" si="2"/>
        <v>4.9560220211841219</v>
      </c>
      <c r="F95" s="2031">
        <f t="shared" si="2"/>
        <v>8.1081081081081141E-2</v>
      </c>
      <c r="G95" s="2031">
        <f t="shared" si="2"/>
        <v>0</v>
      </c>
    </row>
    <row r="96" spans="1:7" ht="20.100000000000001" customHeight="1" thickBot="1" x14ac:dyDescent="0.3">
      <c r="A96" s="1785"/>
      <c r="B96" s="1785"/>
      <c r="C96" s="1791" t="s">
        <v>17</v>
      </c>
      <c r="D96" s="2031"/>
      <c r="E96" s="2031">
        <f t="shared" si="2"/>
        <v>1.3824088084736488</v>
      </c>
      <c r="F96" s="2031">
        <f t="shared" si="2"/>
        <v>8.1081081081081141E-2</v>
      </c>
      <c r="G96" s="2031">
        <f t="shared" si="2"/>
        <v>0</v>
      </c>
    </row>
    <row r="97" spans="1:7" ht="20.100000000000001" customHeight="1" thickBot="1" x14ac:dyDescent="0.3">
      <c r="A97" s="1785"/>
      <c r="B97" s="1785"/>
      <c r="C97" s="2915" t="s">
        <v>1189</v>
      </c>
      <c r="D97" s="2916"/>
      <c r="E97" s="2916"/>
      <c r="F97" s="2916"/>
      <c r="G97" s="2917"/>
    </row>
    <row r="98" spans="1:7" ht="20.100000000000001" customHeight="1" x14ac:dyDescent="0.25">
      <c r="A98" s="1785"/>
      <c r="B98" s="1785"/>
      <c r="C98" s="2907"/>
      <c r="D98" s="1792">
        <v>2018</v>
      </c>
      <c r="E98" s="1792">
        <v>2019</v>
      </c>
      <c r="F98" s="1792">
        <v>2020</v>
      </c>
      <c r="G98" s="1792">
        <v>2021</v>
      </c>
    </row>
    <row r="99" spans="1:7" ht="20.100000000000001" customHeight="1" thickBot="1" x14ac:dyDescent="0.3">
      <c r="A99" s="1785"/>
      <c r="B99" s="1785"/>
      <c r="C99" s="2908"/>
      <c r="D99" s="1801" t="s">
        <v>6</v>
      </c>
      <c r="E99" s="1801" t="s">
        <v>7</v>
      </c>
      <c r="F99" s="1801" t="s">
        <v>7</v>
      </c>
      <c r="G99" s="1801" t="s">
        <v>7</v>
      </c>
    </row>
    <row r="100" spans="1:7" ht="20.100000000000001" customHeight="1" thickBot="1" x14ac:dyDescent="0.3">
      <c r="A100" s="1785"/>
      <c r="B100" s="1785"/>
      <c r="C100" s="1791" t="s">
        <v>104</v>
      </c>
      <c r="D100" s="1802"/>
      <c r="E100" s="1802"/>
      <c r="F100" s="1802"/>
      <c r="G100" s="1802"/>
    </row>
    <row r="101" spans="1:7" ht="20.100000000000001" customHeight="1" thickBot="1" x14ac:dyDescent="0.3">
      <c r="A101" s="1785"/>
      <c r="B101" s="1785"/>
      <c r="C101" s="1791" t="s">
        <v>105</v>
      </c>
      <c r="D101" s="1795">
        <f>D92</f>
        <v>62122</v>
      </c>
      <c r="E101" s="1795">
        <f>E92</f>
        <v>370000</v>
      </c>
      <c r="F101" s="1795">
        <f>F92</f>
        <v>400000</v>
      </c>
      <c r="G101" s="1795">
        <f>G92</f>
        <v>400000</v>
      </c>
    </row>
    <row r="102" spans="1:7" ht="20.100000000000001" customHeight="1" x14ac:dyDescent="0.25">
      <c r="A102" s="1785"/>
      <c r="B102" s="1785"/>
      <c r="C102" s="1804" t="s">
        <v>68</v>
      </c>
      <c r="D102" s="1795">
        <f>D101+D100</f>
        <v>62122</v>
      </c>
      <c r="E102" s="1795">
        <f>E101+E100</f>
        <v>370000</v>
      </c>
      <c r="F102" s="1795">
        <f>F101+F100</f>
        <v>400000</v>
      </c>
      <c r="G102" s="1795">
        <f>G101+G100</f>
        <v>400000</v>
      </c>
    </row>
    <row r="103" spans="1:7" ht="20.100000000000001" customHeight="1" thickBot="1" x14ac:dyDescent="0.3">
      <c r="A103" s="1785"/>
      <c r="B103" s="1785"/>
      <c r="C103" s="1790" t="s">
        <v>70</v>
      </c>
      <c r="D103" s="1805">
        <f>D102-D92</f>
        <v>0</v>
      </c>
      <c r="E103" s="1805">
        <f>E102-E92</f>
        <v>0</v>
      </c>
      <c r="F103" s="1805">
        <f>F102-F92</f>
        <v>0</v>
      </c>
      <c r="G103" s="1805">
        <f>G102-G92</f>
        <v>0</v>
      </c>
    </row>
    <row r="104" spans="1:7" ht="40.5" customHeight="1" thickBot="1" x14ac:dyDescent="0.3">
      <c r="A104" s="1785"/>
      <c r="B104" s="1785"/>
      <c r="C104" s="1790" t="s">
        <v>848</v>
      </c>
      <c r="D104" s="2909" t="s">
        <v>847</v>
      </c>
      <c r="E104" s="2910"/>
      <c r="F104" s="2910"/>
      <c r="G104" s="2911"/>
    </row>
    <row r="105" spans="1:7" ht="20.100000000000001" customHeight="1" thickBot="1" x14ac:dyDescent="0.3">
      <c r="A105" s="1785"/>
      <c r="B105" s="1785"/>
      <c r="C105" s="1791" t="s">
        <v>10</v>
      </c>
      <c r="D105" s="2909" t="s">
        <v>847</v>
      </c>
      <c r="E105" s="2910"/>
      <c r="F105" s="2910"/>
      <c r="G105" s="2911"/>
    </row>
    <row r="106" spans="1:7" ht="20.100000000000001" customHeight="1" thickBot="1" x14ac:dyDescent="0.3">
      <c r="A106" s="1785"/>
      <c r="B106" s="1785"/>
      <c r="C106" s="1791" t="s">
        <v>13</v>
      </c>
      <c r="D106" s="2912" t="s">
        <v>846</v>
      </c>
      <c r="E106" s="2913"/>
      <c r="F106" s="2913"/>
      <c r="G106" s="2914"/>
    </row>
    <row r="107" spans="1:7" ht="20.100000000000001" customHeight="1" x14ac:dyDescent="0.25">
      <c r="A107" s="1785"/>
      <c r="B107" s="1785"/>
      <c r="C107" s="2907"/>
      <c r="D107" s="1787">
        <v>2018</v>
      </c>
      <c r="E107" s="1787">
        <v>2019</v>
      </c>
      <c r="F107" s="1787">
        <v>2020</v>
      </c>
      <c r="G107" s="1834">
        <v>2021</v>
      </c>
    </row>
    <row r="108" spans="1:7" ht="20.100000000000001" customHeight="1" thickBot="1" x14ac:dyDescent="0.3">
      <c r="A108" s="1785"/>
      <c r="B108" s="1785"/>
      <c r="C108" s="2908"/>
      <c r="D108" s="1788" t="s">
        <v>6</v>
      </c>
      <c r="E108" s="1788" t="s">
        <v>7</v>
      </c>
      <c r="F108" s="1788" t="s">
        <v>7</v>
      </c>
      <c r="G108" s="1788" t="s">
        <v>7</v>
      </c>
    </row>
    <row r="109" spans="1:7" ht="20.100000000000001" customHeight="1" thickBot="1" x14ac:dyDescent="0.3">
      <c r="A109" s="1785"/>
      <c r="B109" s="1785"/>
      <c r="C109" s="1791" t="s">
        <v>9</v>
      </c>
      <c r="D109" s="2029">
        <v>4</v>
      </c>
      <c r="E109" s="2029">
        <v>5</v>
      </c>
      <c r="F109" s="2029">
        <v>6</v>
      </c>
      <c r="G109" s="2029">
        <v>8</v>
      </c>
    </row>
    <row r="110" spans="1:7" ht="20.100000000000001" customHeight="1" thickBot="1" x14ac:dyDescent="0.3">
      <c r="A110" s="1785"/>
      <c r="B110" s="1785"/>
      <c r="C110" s="1791" t="s">
        <v>14</v>
      </c>
      <c r="D110" s="2039">
        <v>800</v>
      </c>
      <c r="E110" s="2039">
        <v>1000</v>
      </c>
      <c r="F110" s="2039">
        <v>1200</v>
      </c>
      <c r="G110" s="2039">
        <v>1600</v>
      </c>
    </row>
    <row r="111" spans="1:7" ht="20.100000000000001" customHeight="1" thickBot="1" x14ac:dyDescent="0.3">
      <c r="A111" s="1785"/>
      <c r="B111" s="1785"/>
      <c r="C111" s="1791" t="s">
        <v>23</v>
      </c>
      <c r="D111" s="2039">
        <v>200</v>
      </c>
      <c r="E111" s="2039">
        <v>200</v>
      </c>
      <c r="F111" s="2039">
        <v>200</v>
      </c>
      <c r="G111" s="2039">
        <v>200</v>
      </c>
    </row>
    <row r="112" spans="1:7" ht="20.100000000000001" customHeight="1" thickBot="1" x14ac:dyDescent="0.3">
      <c r="A112" s="1785"/>
      <c r="B112" s="1785"/>
      <c r="C112" s="1791" t="s">
        <v>15</v>
      </c>
      <c r="D112" s="2031"/>
      <c r="E112" s="2031">
        <f t="shared" ref="E112:G114" si="3">E109/D109-1</f>
        <v>0.25</v>
      </c>
      <c r="F112" s="2031">
        <f t="shared" si="3"/>
        <v>0.19999999999999996</v>
      </c>
      <c r="G112" s="2031">
        <f t="shared" si="3"/>
        <v>0.33333333333333326</v>
      </c>
    </row>
    <row r="113" spans="1:7" ht="20.100000000000001" customHeight="1" thickBot="1" x14ac:dyDescent="0.3">
      <c r="A113" s="1785"/>
      <c r="B113" s="1785"/>
      <c r="C113" s="1791" t="s">
        <v>16</v>
      </c>
      <c r="D113" s="2031"/>
      <c r="E113" s="2031">
        <f t="shared" si="3"/>
        <v>0.25</v>
      </c>
      <c r="F113" s="2031">
        <f t="shared" si="3"/>
        <v>0.19999999999999996</v>
      </c>
      <c r="G113" s="2031">
        <f t="shared" si="3"/>
        <v>0.33333333333333326</v>
      </c>
    </row>
    <row r="114" spans="1:7" ht="20.100000000000001" customHeight="1" thickBot="1" x14ac:dyDescent="0.3">
      <c r="A114" s="1785"/>
      <c r="B114" s="1785"/>
      <c r="C114" s="1791" t="s">
        <v>17</v>
      </c>
      <c r="D114" s="2031"/>
      <c r="E114" s="2031">
        <f t="shared" si="3"/>
        <v>0</v>
      </c>
      <c r="F114" s="2031">
        <f t="shared" si="3"/>
        <v>0</v>
      </c>
      <c r="G114" s="2031">
        <f t="shared" si="3"/>
        <v>0</v>
      </c>
    </row>
    <row r="115" spans="1:7" ht="20.100000000000001" customHeight="1" thickBot="1" x14ac:dyDescent="0.3">
      <c r="A115" s="1785"/>
      <c r="B115" s="1785"/>
      <c r="C115" s="2915" t="s">
        <v>1190</v>
      </c>
      <c r="D115" s="2916"/>
      <c r="E115" s="2916"/>
      <c r="F115" s="2916"/>
      <c r="G115" s="2917"/>
    </row>
    <row r="116" spans="1:7" ht="20.100000000000001" customHeight="1" x14ac:dyDescent="0.25">
      <c r="A116" s="1785"/>
      <c r="B116" s="1785"/>
      <c r="C116" s="2907"/>
      <c r="D116" s="1832">
        <v>2018</v>
      </c>
      <c r="E116" s="1832">
        <v>2019</v>
      </c>
      <c r="F116" s="1832">
        <v>2020</v>
      </c>
      <c r="G116" s="1832">
        <v>2021</v>
      </c>
    </row>
    <row r="117" spans="1:7" ht="20.100000000000001" customHeight="1" thickBot="1" x14ac:dyDescent="0.3">
      <c r="A117" s="1785"/>
      <c r="B117" s="1785"/>
      <c r="C117" s="2908"/>
      <c r="D117" s="1833" t="s">
        <v>6</v>
      </c>
      <c r="E117" s="1833" t="s">
        <v>7</v>
      </c>
      <c r="F117" s="1833" t="s">
        <v>7</v>
      </c>
      <c r="G117" s="1833" t="s">
        <v>7</v>
      </c>
    </row>
    <row r="118" spans="1:7" ht="20.100000000000001" customHeight="1" thickBot="1" x14ac:dyDescent="0.3">
      <c r="A118" s="1785"/>
      <c r="B118" s="1785"/>
      <c r="C118" s="1791" t="s">
        <v>0</v>
      </c>
      <c r="D118" s="1802">
        <v>0</v>
      </c>
      <c r="E118" s="1802"/>
      <c r="F118" s="1802"/>
      <c r="G118" s="1802"/>
    </row>
    <row r="119" spans="1:7" ht="20.100000000000001" customHeight="1" thickBot="1" x14ac:dyDescent="0.3">
      <c r="A119" s="1785"/>
      <c r="B119" s="1785"/>
      <c r="C119" s="1791" t="s">
        <v>49</v>
      </c>
      <c r="D119" s="1802">
        <v>0</v>
      </c>
      <c r="E119" s="1802"/>
      <c r="F119" s="1802"/>
      <c r="G119" s="1802"/>
    </row>
    <row r="120" spans="1:7" ht="20.100000000000001" customHeight="1" thickBot="1" x14ac:dyDescent="0.3">
      <c r="A120" s="1785"/>
      <c r="B120" s="1785"/>
      <c r="C120" s="1791" t="s">
        <v>1</v>
      </c>
      <c r="D120" s="1803">
        <v>800</v>
      </c>
      <c r="E120" s="1802"/>
      <c r="F120" s="1802"/>
      <c r="G120" s="1802"/>
    </row>
    <row r="121" spans="1:7" ht="20.100000000000001" customHeight="1" thickBot="1" x14ac:dyDescent="0.3">
      <c r="A121" s="1785"/>
      <c r="B121" s="1785"/>
      <c r="C121" s="1791" t="s">
        <v>2</v>
      </c>
      <c r="D121" s="1803">
        <v>0</v>
      </c>
      <c r="E121" s="1802"/>
      <c r="F121" s="1802"/>
      <c r="G121" s="1802"/>
    </row>
    <row r="122" spans="1:7" ht="20.100000000000001" customHeight="1" thickBot="1" x14ac:dyDescent="0.3">
      <c r="A122" s="1785"/>
      <c r="B122" s="1785"/>
      <c r="C122" s="1791" t="s">
        <v>28</v>
      </c>
      <c r="D122" s="1803">
        <v>0</v>
      </c>
      <c r="E122" s="1802">
        <v>1000</v>
      </c>
      <c r="F122" s="1802">
        <v>1200</v>
      </c>
      <c r="G122" s="1802">
        <v>1600</v>
      </c>
    </row>
    <row r="123" spans="1:7" ht="20.100000000000001" customHeight="1" thickBot="1" x14ac:dyDescent="0.3">
      <c r="A123" s="1785"/>
      <c r="B123" s="1785"/>
      <c r="C123" s="1791" t="s">
        <v>30</v>
      </c>
      <c r="D123" s="1803">
        <v>0</v>
      </c>
      <c r="E123" s="1802"/>
      <c r="F123" s="1802"/>
      <c r="G123" s="1802"/>
    </row>
    <row r="124" spans="1:7" ht="20.100000000000001" customHeight="1" thickBot="1" x14ac:dyDescent="0.3">
      <c r="A124" s="1785"/>
      <c r="B124" s="1785"/>
      <c r="C124" s="1791" t="s">
        <v>3</v>
      </c>
      <c r="D124" s="1803"/>
      <c r="E124" s="1803"/>
      <c r="F124" s="1803"/>
      <c r="G124" s="1803"/>
    </row>
    <row r="125" spans="1:7" ht="20.100000000000001" customHeight="1" thickBot="1" x14ac:dyDescent="0.3">
      <c r="A125" s="1785"/>
      <c r="B125" s="1785"/>
      <c r="C125" s="1804" t="s">
        <v>641</v>
      </c>
      <c r="D125" s="1803">
        <f>D124+D123+D122+D121+D120+D119+D118</f>
        <v>800</v>
      </c>
      <c r="E125" s="1803">
        <f>E124+E123+E122+E121+E120+E119+E118</f>
        <v>1000</v>
      </c>
      <c r="F125" s="1803">
        <f>F124+F123+F122+F121+F120+F119+F118</f>
        <v>1200</v>
      </c>
      <c r="G125" s="1803">
        <f>G124+G123+G122+G121+G120+G119+G118</f>
        <v>1600</v>
      </c>
    </row>
    <row r="126" spans="1:7" ht="20.100000000000001" customHeight="1" thickBot="1" x14ac:dyDescent="0.3">
      <c r="A126" s="1785"/>
      <c r="B126" s="1785"/>
      <c r="C126" s="1790" t="s">
        <v>70</v>
      </c>
      <c r="D126" s="1805">
        <f>D125-D110</f>
        <v>0</v>
      </c>
      <c r="E126" s="1805">
        <f>E125-E110</f>
        <v>0</v>
      </c>
      <c r="F126" s="1805">
        <f>F125-F110</f>
        <v>0</v>
      </c>
      <c r="G126" s="1805">
        <f>G125-G110</f>
        <v>0</v>
      </c>
    </row>
    <row r="127" spans="1:7" s="1785" customFormat="1" ht="87" customHeight="1" thickBot="1" x14ac:dyDescent="0.3">
      <c r="C127" s="1806" t="s">
        <v>512</v>
      </c>
      <c r="D127" s="2909" t="s">
        <v>845</v>
      </c>
      <c r="E127" s="2910"/>
      <c r="F127" s="2910"/>
      <c r="G127" s="2911"/>
    </row>
    <row r="128" spans="1:7" ht="20.100000000000001" customHeight="1" x14ac:dyDescent="0.25">
      <c r="A128" s="1785"/>
      <c r="B128" s="1785"/>
      <c r="C128" s="2936" t="s">
        <v>537</v>
      </c>
      <c r="D128" s="2937"/>
      <c r="E128" s="2937"/>
      <c r="F128" s="2937"/>
      <c r="G128" s="2938"/>
    </row>
    <row r="129" spans="1:7" ht="20.100000000000001" customHeight="1" x14ac:dyDescent="0.25">
      <c r="A129" s="1785"/>
      <c r="B129" s="1785"/>
      <c r="C129" s="1807"/>
      <c r="D129" s="1808">
        <v>2018</v>
      </c>
      <c r="E129" s="1808">
        <v>2019</v>
      </c>
      <c r="F129" s="1808">
        <v>2020</v>
      </c>
      <c r="G129" s="1808">
        <v>2021</v>
      </c>
    </row>
    <row r="130" spans="1:7" ht="20.100000000000001" customHeight="1" thickBot="1" x14ac:dyDescent="0.3">
      <c r="A130" s="1785"/>
      <c r="B130" s="1785"/>
      <c r="C130" s="1791" t="s">
        <v>844</v>
      </c>
      <c r="D130" s="1809" t="s">
        <v>48</v>
      </c>
      <c r="E130" s="1809" t="s">
        <v>42</v>
      </c>
      <c r="F130" s="1809" t="s">
        <v>42</v>
      </c>
      <c r="G130" s="1809" t="s">
        <v>42</v>
      </c>
    </row>
    <row r="131" spans="1:7" ht="20.100000000000001" customHeight="1" thickBot="1" x14ac:dyDescent="0.3">
      <c r="A131" s="1785"/>
      <c r="B131" s="1785"/>
      <c r="C131" s="1791" t="s">
        <v>843</v>
      </c>
      <c r="D131" s="1809" t="s">
        <v>48</v>
      </c>
      <c r="E131" s="1809" t="s">
        <v>42</v>
      </c>
      <c r="F131" s="1809" t="s">
        <v>42</v>
      </c>
      <c r="G131" s="1809" t="s">
        <v>42</v>
      </c>
    </row>
    <row r="132" spans="1:7" ht="20.100000000000001" customHeight="1" thickBot="1" x14ac:dyDescent="0.3">
      <c r="A132" s="1785"/>
      <c r="B132" s="1785"/>
      <c r="C132" s="1791" t="s">
        <v>842</v>
      </c>
      <c r="D132" s="1809" t="s">
        <v>48</v>
      </c>
      <c r="E132" s="1809" t="s">
        <v>42</v>
      </c>
      <c r="F132" s="1809" t="s">
        <v>42</v>
      </c>
      <c r="G132" s="1809" t="s">
        <v>42</v>
      </c>
    </row>
    <row r="133" spans="1:7" ht="20.100000000000001" customHeight="1" thickBot="1" x14ac:dyDescent="0.3">
      <c r="A133" s="1785"/>
      <c r="B133" s="1785"/>
      <c r="C133" s="2904" t="s">
        <v>535</v>
      </c>
      <c r="D133" s="2905"/>
      <c r="E133" s="2905"/>
      <c r="F133" s="2905"/>
      <c r="G133" s="2906"/>
    </row>
    <row r="134" spans="1:7" ht="20.100000000000001" customHeight="1" thickBot="1" x14ac:dyDescent="0.3">
      <c r="A134" s="1785"/>
      <c r="B134" s="1785"/>
      <c r="C134" s="2904" t="s">
        <v>121</v>
      </c>
      <c r="D134" s="2905"/>
      <c r="E134" s="2905"/>
      <c r="F134" s="2905"/>
      <c r="G134" s="2906"/>
    </row>
    <row r="135" spans="1:7" ht="45.75" customHeight="1" thickBot="1" x14ac:dyDescent="0.3">
      <c r="A135" s="1785"/>
      <c r="B135" s="1785"/>
      <c r="C135" s="1790" t="s">
        <v>648</v>
      </c>
      <c r="D135" s="2909" t="s">
        <v>841</v>
      </c>
      <c r="E135" s="2910"/>
      <c r="F135" s="2910"/>
      <c r="G135" s="2911"/>
    </row>
    <row r="136" spans="1:7" ht="20.100000000000001" customHeight="1" thickBot="1" x14ac:dyDescent="0.3">
      <c r="A136" s="1785"/>
      <c r="B136" s="1785"/>
      <c r="C136" s="1791" t="s">
        <v>10</v>
      </c>
      <c r="D136" s="2909" t="s">
        <v>840</v>
      </c>
      <c r="E136" s="2910"/>
      <c r="F136" s="2910"/>
      <c r="G136" s="2911"/>
    </row>
    <row r="137" spans="1:7" ht="20.100000000000001" customHeight="1" thickBot="1" x14ac:dyDescent="0.3">
      <c r="A137" s="1785"/>
      <c r="B137" s="1785"/>
      <c r="C137" s="1791" t="s">
        <v>13</v>
      </c>
      <c r="D137" s="2912" t="s">
        <v>839</v>
      </c>
      <c r="E137" s="2913"/>
      <c r="F137" s="2913"/>
      <c r="G137" s="2914"/>
    </row>
    <row r="138" spans="1:7" ht="20.100000000000001" customHeight="1" x14ac:dyDescent="0.25">
      <c r="A138" s="1785"/>
      <c r="B138" s="1785"/>
      <c r="C138" s="2907"/>
      <c r="D138" s="1792">
        <v>2018</v>
      </c>
      <c r="E138" s="1792">
        <v>2019</v>
      </c>
      <c r="F138" s="1792">
        <v>2020</v>
      </c>
      <c r="G138" s="1792">
        <v>2021</v>
      </c>
    </row>
    <row r="139" spans="1:7" ht="20.100000000000001" customHeight="1" thickBot="1" x14ac:dyDescent="0.3">
      <c r="A139" s="1785"/>
      <c r="B139" s="1785"/>
      <c r="C139" s="2908"/>
      <c r="D139" s="1801" t="s">
        <v>6</v>
      </c>
      <c r="E139" s="1801" t="s">
        <v>7</v>
      </c>
      <c r="F139" s="1801" t="s">
        <v>7</v>
      </c>
      <c r="G139" s="1801" t="s">
        <v>7</v>
      </c>
    </row>
    <row r="140" spans="1:7" ht="20.100000000000001" customHeight="1" thickBot="1" x14ac:dyDescent="0.3">
      <c r="A140" s="1785"/>
      <c r="B140" s="1785"/>
      <c r="C140" s="1791" t="s">
        <v>9</v>
      </c>
      <c r="D140" s="1810">
        <v>2</v>
      </c>
      <c r="E140" s="1796">
        <v>2</v>
      </c>
      <c r="F140" s="1796">
        <v>2</v>
      </c>
      <c r="G140" s="1796">
        <v>1</v>
      </c>
    </row>
    <row r="141" spans="1:7" ht="20.100000000000001" customHeight="1" thickBot="1" x14ac:dyDescent="0.3">
      <c r="A141" s="1785"/>
      <c r="B141" s="1785"/>
      <c r="C141" s="1791" t="s">
        <v>14</v>
      </c>
      <c r="D141" s="1812">
        <v>140000</v>
      </c>
      <c r="E141" s="1811">
        <v>140000</v>
      </c>
      <c r="F141" s="1811">
        <v>140000</v>
      </c>
      <c r="G141" s="1811">
        <v>14000</v>
      </c>
    </row>
    <row r="142" spans="1:7" ht="20.100000000000001" customHeight="1" thickBot="1" x14ac:dyDescent="0.3">
      <c r="A142" s="1785"/>
      <c r="B142" s="1785"/>
      <c r="C142" s="1791" t="s">
        <v>23</v>
      </c>
      <c r="D142" s="1812">
        <f>D141/D140</f>
        <v>70000</v>
      </c>
      <c r="E142" s="1812">
        <f>E141/E140</f>
        <v>70000</v>
      </c>
      <c r="F142" s="1812">
        <f>F141/F140</f>
        <v>70000</v>
      </c>
      <c r="G142" s="1812">
        <f>G141/G140</f>
        <v>14000</v>
      </c>
    </row>
    <row r="143" spans="1:7" ht="20.100000000000001" customHeight="1" thickBot="1" x14ac:dyDescent="0.3">
      <c r="A143" s="1785"/>
      <c r="B143" s="1785"/>
      <c r="C143" s="1791" t="s">
        <v>15</v>
      </c>
      <c r="D143" s="1797"/>
      <c r="E143" s="1797">
        <f t="shared" ref="E143:G145" si="4">E140/D140-1</f>
        <v>0</v>
      </c>
      <c r="F143" s="1797">
        <f t="shared" si="4"/>
        <v>0</v>
      </c>
      <c r="G143" s="1797">
        <f t="shared" si="4"/>
        <v>-0.5</v>
      </c>
    </row>
    <row r="144" spans="1:7" ht="20.100000000000001" customHeight="1" thickBot="1" x14ac:dyDescent="0.3">
      <c r="A144" s="1785"/>
      <c r="B144" s="1785"/>
      <c r="C144" s="1791" t="s">
        <v>16</v>
      </c>
      <c r="D144" s="1797"/>
      <c r="E144" s="1797">
        <f t="shared" si="4"/>
        <v>0</v>
      </c>
      <c r="F144" s="1797">
        <f t="shared" si="4"/>
        <v>0</v>
      </c>
      <c r="G144" s="1797">
        <f t="shared" si="4"/>
        <v>-0.9</v>
      </c>
    </row>
    <row r="145" spans="1:7" ht="20.100000000000001" customHeight="1" thickBot="1" x14ac:dyDescent="0.3">
      <c r="A145" s="1785"/>
      <c r="B145" s="1785"/>
      <c r="C145" s="1791" t="s">
        <v>17</v>
      </c>
      <c r="D145" s="1797"/>
      <c r="E145" s="1797">
        <f t="shared" si="4"/>
        <v>0</v>
      </c>
      <c r="F145" s="1797">
        <f t="shared" si="4"/>
        <v>0</v>
      </c>
      <c r="G145" s="1797">
        <f t="shared" si="4"/>
        <v>-0.8</v>
      </c>
    </row>
    <row r="146" spans="1:7" ht="20.100000000000001" customHeight="1" thickBot="1" x14ac:dyDescent="0.3">
      <c r="A146" s="1785"/>
      <c r="B146" s="1785"/>
      <c r="C146" s="2915" t="s">
        <v>1189</v>
      </c>
      <c r="D146" s="2916"/>
      <c r="E146" s="2916"/>
      <c r="F146" s="2916"/>
      <c r="G146" s="2917"/>
    </row>
    <row r="147" spans="1:7" ht="20.100000000000001" customHeight="1" x14ac:dyDescent="0.25">
      <c r="A147" s="1785"/>
      <c r="B147" s="1785"/>
      <c r="C147" s="2907"/>
      <c r="D147" s="1787">
        <v>2018</v>
      </c>
      <c r="E147" s="1787">
        <v>2019</v>
      </c>
      <c r="F147" s="1787">
        <v>2020</v>
      </c>
      <c r="G147" s="1787">
        <v>2021</v>
      </c>
    </row>
    <row r="148" spans="1:7" ht="20.100000000000001" customHeight="1" thickBot="1" x14ac:dyDescent="0.3">
      <c r="A148" s="1785"/>
      <c r="B148" s="1785"/>
      <c r="C148" s="2908"/>
      <c r="D148" s="1788" t="s">
        <v>6</v>
      </c>
      <c r="E148" s="1788" t="s">
        <v>7</v>
      </c>
      <c r="F148" s="1788" t="s">
        <v>7</v>
      </c>
      <c r="G148" s="1788" t="s">
        <v>7</v>
      </c>
    </row>
    <row r="149" spans="1:7" ht="20.100000000000001" customHeight="1" thickBot="1" x14ac:dyDescent="0.3">
      <c r="A149" s="1785"/>
      <c r="B149" s="1785"/>
      <c r="C149" s="1791" t="s">
        <v>0</v>
      </c>
      <c r="D149" s="1802">
        <v>0</v>
      </c>
      <c r="E149" s="1802">
        <v>0</v>
      </c>
      <c r="F149" s="1802">
        <v>0</v>
      </c>
      <c r="G149" s="1802">
        <v>0</v>
      </c>
    </row>
    <row r="150" spans="1:7" ht="20.100000000000001" customHeight="1" thickBot="1" x14ac:dyDescent="0.3">
      <c r="A150" s="1785"/>
      <c r="B150" s="1785"/>
      <c r="C150" s="1791" t="s">
        <v>49</v>
      </c>
      <c r="D150" s="1802">
        <v>0</v>
      </c>
      <c r="E150" s="1802">
        <v>0</v>
      </c>
      <c r="F150" s="1802">
        <v>0</v>
      </c>
      <c r="G150" s="1802">
        <v>0</v>
      </c>
    </row>
    <row r="151" spans="1:7" ht="20.100000000000001" customHeight="1" thickBot="1" x14ac:dyDescent="0.3">
      <c r="A151" s="1785"/>
      <c r="B151" s="1785"/>
      <c r="C151" s="1791" t="s">
        <v>1</v>
      </c>
      <c r="D151" s="1803">
        <v>0</v>
      </c>
      <c r="E151" s="1803">
        <v>0</v>
      </c>
      <c r="F151" s="1803">
        <v>0</v>
      </c>
      <c r="G151" s="1803">
        <v>0</v>
      </c>
    </row>
    <row r="152" spans="1:7" ht="20.100000000000001" customHeight="1" thickBot="1" x14ac:dyDescent="0.3">
      <c r="A152" s="1785"/>
      <c r="B152" s="1785"/>
      <c r="C152" s="1791" t="s">
        <v>2</v>
      </c>
      <c r="D152" s="1803">
        <v>0</v>
      </c>
      <c r="E152" s="1803">
        <v>0</v>
      </c>
      <c r="F152" s="1803">
        <v>0</v>
      </c>
      <c r="G152" s="1803">
        <v>0</v>
      </c>
    </row>
    <row r="153" spans="1:7" ht="20.100000000000001" customHeight="1" thickBot="1" x14ac:dyDescent="0.3">
      <c r="A153" s="1785"/>
      <c r="B153" s="1785"/>
      <c r="C153" s="1791" t="s">
        <v>28</v>
      </c>
      <c r="D153" s="1803">
        <v>0</v>
      </c>
      <c r="E153" s="1802"/>
      <c r="F153" s="1802"/>
      <c r="G153" s="1802"/>
    </row>
    <row r="154" spans="1:7" ht="20.100000000000001" customHeight="1" thickBot="1" x14ac:dyDescent="0.3">
      <c r="A154" s="1785"/>
      <c r="B154" s="1785"/>
      <c r="C154" s="1791" t="s">
        <v>30</v>
      </c>
      <c r="D154" s="1803">
        <f>D141</f>
        <v>140000</v>
      </c>
      <c r="E154" s="1802">
        <f>E141</f>
        <v>140000</v>
      </c>
      <c r="F154" s="1802">
        <f>F141</f>
        <v>140000</v>
      </c>
      <c r="G154" s="1802">
        <f>G141</f>
        <v>14000</v>
      </c>
    </row>
    <row r="155" spans="1:7" ht="20.100000000000001" customHeight="1" thickBot="1" x14ac:dyDescent="0.3">
      <c r="A155" s="1785"/>
      <c r="B155" s="1785"/>
      <c r="C155" s="1791" t="s">
        <v>3</v>
      </c>
      <c r="D155" s="1803">
        <v>0</v>
      </c>
      <c r="E155" s="1803">
        <v>0</v>
      </c>
      <c r="F155" s="1803">
        <v>0</v>
      </c>
      <c r="G155" s="1803">
        <v>0</v>
      </c>
    </row>
    <row r="156" spans="1:7" ht="20.100000000000001" customHeight="1" thickBot="1" x14ac:dyDescent="0.3">
      <c r="A156" s="1785"/>
      <c r="B156" s="1785"/>
      <c r="C156" s="1804" t="s">
        <v>68</v>
      </c>
      <c r="D156" s="1803">
        <f>D155+D154+D153+D152+D151+D150+D149</f>
        <v>140000</v>
      </c>
      <c r="E156" s="1803">
        <f>E155+E154+E153+E152+E151+E150+E149</f>
        <v>140000</v>
      </c>
      <c r="F156" s="1803">
        <f>F155+F154+F153+F152+F151+F150+F149</f>
        <v>140000</v>
      </c>
      <c r="G156" s="1803">
        <f>G155+G154+G153+G152+G151+G150+G149</f>
        <v>14000</v>
      </c>
    </row>
    <row r="157" spans="1:7" ht="20.100000000000001" customHeight="1" thickBot="1" x14ac:dyDescent="0.3">
      <c r="A157" s="1785"/>
      <c r="B157" s="1785"/>
      <c r="C157" s="1790" t="s">
        <v>70</v>
      </c>
      <c r="D157" s="1805">
        <f>D156-D141</f>
        <v>0</v>
      </c>
      <c r="E157" s="1805">
        <f>E156-E141</f>
        <v>0</v>
      </c>
      <c r="F157" s="1805">
        <f>F156-F141</f>
        <v>0</v>
      </c>
      <c r="G157" s="1805">
        <f>G156-G141</f>
        <v>0</v>
      </c>
    </row>
    <row r="158" spans="1:7" s="1785" customFormat="1" ht="99" customHeight="1" thickBot="1" x14ac:dyDescent="0.3">
      <c r="C158" s="1831" t="s">
        <v>639</v>
      </c>
      <c r="D158" s="2939" t="s">
        <v>838</v>
      </c>
      <c r="E158" s="2940"/>
      <c r="F158" s="2940"/>
      <c r="G158" s="2941"/>
    </row>
    <row r="159" spans="1:7" ht="20.100000000000001" customHeight="1" thickBot="1" x14ac:dyDescent="0.3">
      <c r="A159" s="1785"/>
      <c r="B159" s="1785"/>
      <c r="C159" s="2909" t="s">
        <v>637</v>
      </c>
      <c r="D159" s="2910"/>
      <c r="E159" s="2910"/>
      <c r="F159" s="2910"/>
      <c r="G159" s="2911"/>
    </row>
    <row r="160" spans="1:7" ht="20.100000000000001" customHeight="1" x14ac:dyDescent="0.25">
      <c r="A160" s="1785"/>
      <c r="B160" s="1785"/>
      <c r="C160" s="1807"/>
      <c r="D160" s="1808">
        <v>2018</v>
      </c>
      <c r="E160" s="1808">
        <v>2019</v>
      </c>
      <c r="F160" s="1808">
        <v>2020</v>
      </c>
      <c r="G160" s="1808">
        <v>2021</v>
      </c>
    </row>
    <row r="161" spans="1:7" ht="20.100000000000001" customHeight="1" thickBot="1" x14ac:dyDescent="0.3">
      <c r="A161" s="1785"/>
      <c r="B161" s="1785"/>
      <c r="C161" s="1791" t="s">
        <v>837</v>
      </c>
      <c r="D161" s="1809" t="s">
        <v>48</v>
      </c>
      <c r="E161" s="1809" t="s">
        <v>42</v>
      </c>
      <c r="F161" s="1809" t="s">
        <v>42</v>
      </c>
      <c r="G161" s="1809" t="s">
        <v>42</v>
      </c>
    </row>
    <row r="162" spans="1:7" ht="20.100000000000001" customHeight="1" thickBot="1" x14ac:dyDescent="0.3">
      <c r="A162" s="1785"/>
      <c r="B162" s="1785"/>
      <c r="C162" s="1791" t="s">
        <v>836</v>
      </c>
      <c r="D162" s="1809" t="s">
        <v>48</v>
      </c>
      <c r="E162" s="1809" t="s">
        <v>42</v>
      </c>
      <c r="F162" s="1809" t="s">
        <v>42</v>
      </c>
      <c r="G162" s="1809" t="s">
        <v>42</v>
      </c>
    </row>
    <row r="163" spans="1:7" ht="20.100000000000001" customHeight="1" thickBot="1" x14ac:dyDescent="0.3">
      <c r="A163" s="1785"/>
      <c r="B163" s="1785"/>
      <c r="C163" s="1791" t="s">
        <v>835</v>
      </c>
      <c r="D163" s="1809" t="s">
        <v>48</v>
      </c>
      <c r="E163" s="1809" t="s">
        <v>42</v>
      </c>
      <c r="F163" s="1809" t="s">
        <v>42</v>
      </c>
      <c r="G163" s="1809" t="s">
        <v>42</v>
      </c>
    </row>
    <row r="164" spans="1:7" ht="20.100000000000001" customHeight="1" thickBot="1" x14ac:dyDescent="0.3">
      <c r="A164" s="1785"/>
      <c r="B164" s="1785"/>
      <c r="C164" s="2904" t="s">
        <v>630</v>
      </c>
      <c r="D164" s="2905"/>
      <c r="E164" s="2905"/>
      <c r="F164" s="2905"/>
      <c r="G164" s="2906"/>
    </row>
    <row r="165" spans="1:7" ht="20.100000000000001" customHeight="1" thickBot="1" x14ac:dyDescent="0.3">
      <c r="A165" s="1785"/>
      <c r="B165" s="1785"/>
      <c r="C165" s="2904" t="s">
        <v>121</v>
      </c>
      <c r="D165" s="2905"/>
      <c r="E165" s="2905"/>
      <c r="F165" s="2905"/>
      <c r="G165" s="2906"/>
    </row>
    <row r="166" spans="1:7" ht="41.25" customHeight="1" thickBot="1" x14ac:dyDescent="0.3">
      <c r="A166" s="1785"/>
      <c r="B166" s="1785"/>
      <c r="C166" s="1790" t="s">
        <v>629</v>
      </c>
      <c r="D166" s="2909" t="s">
        <v>834</v>
      </c>
      <c r="E166" s="2910"/>
      <c r="F166" s="2910"/>
      <c r="G166" s="2911"/>
    </row>
    <row r="167" spans="1:7" ht="20.100000000000001" customHeight="1" thickBot="1" x14ac:dyDescent="0.3">
      <c r="A167" s="1785"/>
      <c r="B167" s="1785"/>
      <c r="C167" s="1791" t="s">
        <v>10</v>
      </c>
      <c r="D167" s="2909" t="s">
        <v>833</v>
      </c>
      <c r="E167" s="2910"/>
      <c r="F167" s="2910"/>
      <c r="G167" s="2911"/>
    </row>
    <row r="168" spans="1:7" ht="20.100000000000001" customHeight="1" thickBot="1" x14ac:dyDescent="0.3">
      <c r="A168" s="1785"/>
      <c r="B168" s="1785"/>
      <c r="C168" s="1791" t="s">
        <v>13</v>
      </c>
      <c r="D168" s="2912" t="s">
        <v>832</v>
      </c>
      <c r="E168" s="2913"/>
      <c r="F168" s="2913"/>
      <c r="G168" s="2914"/>
    </row>
    <row r="169" spans="1:7" ht="20.100000000000001" customHeight="1" x14ac:dyDescent="0.25">
      <c r="A169" s="1785"/>
      <c r="B169" s="1785"/>
      <c r="C169" s="2907"/>
      <c r="D169" s="1792">
        <v>2018</v>
      </c>
      <c r="E169" s="1792">
        <v>2019</v>
      </c>
      <c r="F169" s="1792">
        <v>2020</v>
      </c>
      <c r="G169" s="1792">
        <v>2021</v>
      </c>
    </row>
    <row r="170" spans="1:7" ht="20.100000000000001" customHeight="1" thickBot="1" x14ac:dyDescent="0.3">
      <c r="A170" s="1785"/>
      <c r="B170" s="1785"/>
      <c r="C170" s="2908"/>
      <c r="D170" s="1801" t="s">
        <v>6</v>
      </c>
      <c r="E170" s="1801" t="s">
        <v>7</v>
      </c>
      <c r="F170" s="1801" t="s">
        <v>7</v>
      </c>
      <c r="G170" s="1801" t="s">
        <v>7</v>
      </c>
    </row>
    <row r="171" spans="1:7" ht="20.100000000000001" customHeight="1" thickBot="1" x14ac:dyDescent="0.3">
      <c r="A171" s="1785"/>
      <c r="B171" s="1785"/>
      <c r="C171" s="1791" t="s">
        <v>9</v>
      </c>
      <c r="D171" s="2029">
        <v>40</v>
      </c>
      <c r="E171" s="2029">
        <v>44</v>
      </c>
      <c r="F171" s="2029">
        <v>44</v>
      </c>
      <c r="G171" s="2029">
        <v>44</v>
      </c>
    </row>
    <row r="172" spans="1:7" ht="20.100000000000001" customHeight="1" thickBot="1" x14ac:dyDescent="0.3">
      <c r="A172" s="1785"/>
      <c r="B172" s="1785"/>
      <c r="C172" s="1791" t="s">
        <v>14</v>
      </c>
      <c r="D172" s="2039">
        <v>132000</v>
      </c>
      <c r="E172" s="2039">
        <v>150000</v>
      </c>
      <c r="F172" s="2039">
        <v>150000</v>
      </c>
      <c r="G172" s="2039">
        <v>150000</v>
      </c>
    </row>
    <row r="173" spans="1:7" ht="20.100000000000001" customHeight="1" thickBot="1" x14ac:dyDescent="0.3">
      <c r="A173" s="1785"/>
      <c r="B173" s="1785"/>
      <c r="C173" s="1791" t="s">
        <v>23</v>
      </c>
      <c r="D173" s="2039">
        <f>D172/D171</f>
        <v>3300</v>
      </c>
      <c r="E173" s="2039">
        <f>E172/E171</f>
        <v>3409.090909090909</v>
      </c>
      <c r="F173" s="2039">
        <f>F172/F171</f>
        <v>3409.090909090909</v>
      </c>
      <c r="G173" s="2039">
        <f>G172/G171</f>
        <v>3409.090909090909</v>
      </c>
    </row>
    <row r="174" spans="1:7" ht="20.100000000000001" customHeight="1" thickBot="1" x14ac:dyDescent="0.3">
      <c r="A174" s="1785"/>
      <c r="B174" s="1785"/>
      <c r="C174" s="1791" t="s">
        <v>15</v>
      </c>
      <c r="D174" s="2031"/>
      <c r="E174" s="2031">
        <f t="shared" ref="E174:G176" si="5">E171/D171-1</f>
        <v>0.10000000000000009</v>
      </c>
      <c r="F174" s="2031">
        <f t="shared" si="5"/>
        <v>0</v>
      </c>
      <c r="G174" s="2031">
        <f t="shared" si="5"/>
        <v>0</v>
      </c>
    </row>
    <row r="175" spans="1:7" ht="20.100000000000001" customHeight="1" thickBot="1" x14ac:dyDescent="0.3">
      <c r="A175" s="1785"/>
      <c r="B175" s="1785"/>
      <c r="C175" s="1791" t="s">
        <v>16</v>
      </c>
      <c r="D175" s="2031"/>
      <c r="E175" s="2031">
        <f t="shared" si="5"/>
        <v>0.13636363636363646</v>
      </c>
      <c r="F175" s="2031">
        <f t="shared" si="5"/>
        <v>0</v>
      </c>
      <c r="G175" s="2031">
        <f t="shared" si="5"/>
        <v>0</v>
      </c>
    </row>
    <row r="176" spans="1:7" ht="20.100000000000001" customHeight="1" thickBot="1" x14ac:dyDescent="0.3">
      <c r="A176" s="1785"/>
      <c r="B176" s="1785"/>
      <c r="C176" s="1791" t="s">
        <v>17</v>
      </c>
      <c r="D176" s="2031"/>
      <c r="E176" s="2031">
        <f t="shared" si="5"/>
        <v>3.3057851239669311E-2</v>
      </c>
      <c r="F176" s="2031">
        <f t="shared" si="5"/>
        <v>0</v>
      </c>
      <c r="G176" s="2031">
        <f t="shared" si="5"/>
        <v>0</v>
      </c>
    </row>
    <row r="177" spans="1:7" ht="20.100000000000001" customHeight="1" thickBot="1" x14ac:dyDescent="0.3">
      <c r="A177" s="1785"/>
      <c r="B177" s="1785"/>
      <c r="C177" s="2915" t="s">
        <v>1189</v>
      </c>
      <c r="D177" s="2916"/>
      <c r="E177" s="2916"/>
      <c r="F177" s="2916"/>
      <c r="G177" s="2917"/>
    </row>
    <row r="178" spans="1:7" ht="20.100000000000001" customHeight="1" x14ac:dyDescent="0.25">
      <c r="A178" s="1785"/>
      <c r="B178" s="1785"/>
      <c r="C178" s="2907"/>
      <c r="D178" s="1792">
        <v>2018</v>
      </c>
      <c r="E178" s="1792">
        <v>2019</v>
      </c>
      <c r="F178" s="1792">
        <v>2020</v>
      </c>
      <c r="G178" s="1792">
        <v>2021</v>
      </c>
    </row>
    <row r="179" spans="1:7" ht="20.100000000000001" customHeight="1" thickBot="1" x14ac:dyDescent="0.3">
      <c r="A179" s="1785"/>
      <c r="B179" s="1785"/>
      <c r="C179" s="2908"/>
      <c r="D179" s="1801" t="s">
        <v>6</v>
      </c>
      <c r="E179" s="1801" t="s">
        <v>7</v>
      </c>
      <c r="F179" s="1801" t="s">
        <v>7</v>
      </c>
      <c r="G179" s="1801" t="s">
        <v>7</v>
      </c>
    </row>
    <row r="180" spans="1:7" ht="20.100000000000001" customHeight="1" thickBot="1" x14ac:dyDescent="0.3">
      <c r="A180" s="1785"/>
      <c r="B180" s="1785"/>
      <c r="C180" s="1791" t="s">
        <v>0</v>
      </c>
      <c r="D180" s="1802">
        <v>0</v>
      </c>
      <c r="E180" s="1802"/>
      <c r="F180" s="1802"/>
      <c r="G180" s="1802"/>
    </row>
    <row r="181" spans="1:7" ht="20.100000000000001" customHeight="1" thickBot="1" x14ac:dyDescent="0.3">
      <c r="A181" s="1785"/>
      <c r="B181" s="1785"/>
      <c r="C181" s="1791" t="s">
        <v>49</v>
      </c>
      <c r="D181" s="1802">
        <v>0</v>
      </c>
      <c r="E181" s="1802"/>
      <c r="F181" s="1802"/>
      <c r="G181" s="1802"/>
    </row>
    <row r="182" spans="1:7" ht="20.100000000000001" customHeight="1" thickBot="1" x14ac:dyDescent="0.3">
      <c r="A182" s="1785"/>
      <c r="B182" s="1785"/>
      <c r="C182" s="1791" t="s">
        <v>1</v>
      </c>
      <c r="D182" s="1803">
        <v>0</v>
      </c>
      <c r="E182" s="1802"/>
      <c r="F182" s="1802"/>
      <c r="G182" s="1802"/>
    </row>
    <row r="183" spans="1:7" ht="20.100000000000001" customHeight="1" thickBot="1" x14ac:dyDescent="0.3">
      <c r="A183" s="1785"/>
      <c r="B183" s="1785"/>
      <c r="C183" s="1791" t="s">
        <v>2</v>
      </c>
      <c r="D183" s="1803">
        <v>0</v>
      </c>
      <c r="E183" s="1802"/>
      <c r="F183" s="1802"/>
      <c r="G183" s="1802"/>
    </row>
    <row r="184" spans="1:7" ht="20.100000000000001" customHeight="1" thickBot="1" x14ac:dyDescent="0.3">
      <c r="A184" s="1785"/>
      <c r="B184" s="1785"/>
      <c r="C184" s="1791" t="s">
        <v>28</v>
      </c>
      <c r="D184" s="1803">
        <v>0</v>
      </c>
      <c r="E184" s="1802"/>
      <c r="F184" s="1802"/>
      <c r="G184" s="1802"/>
    </row>
    <row r="185" spans="1:7" ht="20.100000000000001" customHeight="1" thickBot="1" x14ac:dyDescent="0.3">
      <c r="A185" s="1785"/>
      <c r="B185" s="1785"/>
      <c r="C185" s="1791" t="s">
        <v>30</v>
      </c>
      <c r="D185" s="1803">
        <v>0</v>
      </c>
      <c r="E185" s="1802"/>
      <c r="F185" s="1802"/>
      <c r="G185" s="1802"/>
    </row>
    <row r="186" spans="1:7" ht="20.100000000000001" customHeight="1" thickBot="1" x14ac:dyDescent="0.3">
      <c r="A186" s="1785"/>
      <c r="B186" s="1785"/>
      <c r="C186" s="1791" t="s">
        <v>3</v>
      </c>
      <c r="D186" s="1803">
        <f>D172</f>
        <v>132000</v>
      </c>
      <c r="E186" s="1802">
        <f>E172</f>
        <v>150000</v>
      </c>
      <c r="F186" s="1802">
        <f>F172</f>
        <v>150000</v>
      </c>
      <c r="G186" s="1802">
        <f>G172</f>
        <v>150000</v>
      </c>
    </row>
    <row r="187" spans="1:7" ht="20.100000000000001" customHeight="1" thickBot="1" x14ac:dyDescent="0.3">
      <c r="A187" s="1785"/>
      <c r="B187" s="1785"/>
      <c r="C187" s="1804" t="s">
        <v>68</v>
      </c>
      <c r="D187" s="1803">
        <f>D186+D185+D184+D183+D182+D181+D180</f>
        <v>132000</v>
      </c>
      <c r="E187" s="1803">
        <f>E186+E185+E184+E183+E182+E181+E180</f>
        <v>150000</v>
      </c>
      <c r="F187" s="1803">
        <f>F186+F185+F184+F183+F182+F181+F180</f>
        <v>150000</v>
      </c>
      <c r="G187" s="1803">
        <f>G186+G185+G184+G183+G182+G181+G180</f>
        <v>150000</v>
      </c>
    </row>
    <row r="188" spans="1:7" ht="20.100000000000001" customHeight="1" thickBot="1" x14ac:dyDescent="0.3">
      <c r="A188" s="1785"/>
      <c r="B188" s="1785"/>
      <c r="C188" s="1790" t="s">
        <v>70</v>
      </c>
      <c r="D188" s="1805">
        <f>D187-D172</f>
        <v>0</v>
      </c>
      <c r="E188" s="1805">
        <f>E187-E172</f>
        <v>0</v>
      </c>
      <c r="F188" s="1805">
        <f>F187-F172</f>
        <v>0</v>
      </c>
      <c r="G188" s="1805">
        <f>G187-G172</f>
        <v>0</v>
      </c>
    </row>
    <row r="189" spans="1:7" ht="20.100000000000001" customHeight="1" thickBot="1" x14ac:dyDescent="0.3">
      <c r="A189" s="1785"/>
      <c r="B189" s="1785"/>
      <c r="C189" s="2904" t="s">
        <v>100</v>
      </c>
      <c r="D189" s="2905"/>
      <c r="E189" s="2905"/>
      <c r="F189" s="2905"/>
      <c r="G189" s="2906"/>
    </row>
    <row r="190" spans="1:7" ht="20.100000000000001" customHeight="1" thickBot="1" x14ac:dyDescent="0.3">
      <c r="A190" s="1785"/>
      <c r="B190" s="1785"/>
      <c r="C190" s="2904" t="s">
        <v>831</v>
      </c>
      <c r="D190" s="2905"/>
      <c r="E190" s="2905"/>
      <c r="F190" s="2905"/>
      <c r="G190" s="2906"/>
    </row>
    <row r="191" spans="1:7" ht="20.100000000000001" customHeight="1" thickBot="1" x14ac:dyDescent="0.3">
      <c r="A191" s="1785"/>
      <c r="B191" s="1785"/>
      <c r="C191" s="1791" t="s">
        <v>114</v>
      </c>
      <c r="D191" s="2930" t="s">
        <v>46</v>
      </c>
      <c r="E191" s="2931"/>
      <c r="F191" s="2931"/>
      <c r="G191" s="2932"/>
    </row>
    <row r="192" spans="1:7" ht="74.25" customHeight="1" thickBot="1" x14ac:dyDescent="0.3">
      <c r="A192" s="1785"/>
      <c r="B192" s="1785"/>
      <c r="C192" s="1790" t="s">
        <v>45</v>
      </c>
      <c r="D192" s="2909" t="s">
        <v>830</v>
      </c>
      <c r="E192" s="2910"/>
      <c r="F192" s="2910"/>
      <c r="G192" s="2911"/>
    </row>
    <row r="193" spans="1:7" ht="42" customHeight="1" thickBot="1" x14ac:dyDescent="0.3">
      <c r="A193" s="1785"/>
      <c r="B193" s="1785"/>
      <c r="C193" s="1791" t="s">
        <v>10</v>
      </c>
      <c r="D193" s="2909" t="s">
        <v>829</v>
      </c>
      <c r="E193" s="2910"/>
      <c r="F193" s="2910"/>
      <c r="G193" s="2911"/>
    </row>
    <row r="194" spans="1:7" ht="20.100000000000001" customHeight="1" thickBot="1" x14ac:dyDescent="0.3">
      <c r="A194" s="1785"/>
      <c r="B194" s="1785"/>
      <c r="C194" s="1791" t="s">
        <v>13</v>
      </c>
      <c r="D194" s="2912" t="s">
        <v>828</v>
      </c>
      <c r="E194" s="2913"/>
      <c r="F194" s="2913"/>
      <c r="G194" s="2914"/>
    </row>
    <row r="195" spans="1:7" ht="20.100000000000001" customHeight="1" x14ac:dyDescent="0.25">
      <c r="A195" s="1785"/>
      <c r="B195" s="1785"/>
      <c r="C195" s="2907"/>
      <c r="D195" s="1792">
        <v>2018</v>
      </c>
      <c r="E195" s="1792">
        <v>2019</v>
      </c>
      <c r="F195" s="1792">
        <v>2020</v>
      </c>
      <c r="G195" s="1792">
        <v>2021</v>
      </c>
    </row>
    <row r="196" spans="1:7" ht="20.100000000000001" customHeight="1" thickBot="1" x14ac:dyDescent="0.3">
      <c r="A196" s="1785"/>
      <c r="B196" s="1785"/>
      <c r="C196" s="2908"/>
      <c r="D196" s="1801" t="s">
        <v>6</v>
      </c>
      <c r="E196" s="1801" t="s">
        <v>7</v>
      </c>
      <c r="F196" s="1801" t="s">
        <v>7</v>
      </c>
      <c r="G196" s="1801" t="s">
        <v>7</v>
      </c>
    </row>
    <row r="197" spans="1:7" ht="20.100000000000001" customHeight="1" thickBot="1" x14ac:dyDescent="0.3">
      <c r="A197" s="1785"/>
      <c r="B197" s="1785"/>
      <c r="C197" s="1791" t="s">
        <v>9</v>
      </c>
      <c r="D197" s="1813">
        <v>20</v>
      </c>
      <c r="E197" s="1813">
        <v>20</v>
      </c>
      <c r="F197" s="1813">
        <v>20</v>
      </c>
      <c r="G197" s="1813">
        <v>20</v>
      </c>
    </row>
    <row r="198" spans="1:7" ht="20.100000000000001" customHeight="1" thickBot="1" x14ac:dyDescent="0.3">
      <c r="A198" s="1785"/>
      <c r="B198" s="1785"/>
      <c r="C198" s="1791" t="s">
        <v>14</v>
      </c>
      <c r="D198" s="1813">
        <v>100000</v>
      </c>
      <c r="E198" s="1813">
        <v>100000</v>
      </c>
      <c r="F198" s="1813">
        <v>100000</v>
      </c>
      <c r="G198" s="1813">
        <v>100000</v>
      </c>
    </row>
    <row r="199" spans="1:7" ht="20.100000000000001" customHeight="1" thickBot="1" x14ac:dyDescent="0.3">
      <c r="A199" s="1785"/>
      <c r="B199" s="1785"/>
      <c r="C199" s="1791" t="s">
        <v>23</v>
      </c>
      <c r="D199" s="1813">
        <f>D198/D197</f>
        <v>5000</v>
      </c>
      <c r="E199" s="1813">
        <f>E198/E197</f>
        <v>5000</v>
      </c>
      <c r="F199" s="1813">
        <f>F198/F197</f>
        <v>5000</v>
      </c>
      <c r="G199" s="1813">
        <f>G198/G197</f>
        <v>5000</v>
      </c>
    </row>
    <row r="200" spans="1:7" ht="20.100000000000001" customHeight="1" thickBot="1" x14ac:dyDescent="0.3">
      <c r="A200" s="1785"/>
      <c r="B200" s="1785"/>
      <c r="C200" s="1791" t="s">
        <v>15</v>
      </c>
      <c r="D200" s="1814" t="s">
        <v>21</v>
      </c>
      <c r="E200" s="1815">
        <f t="shared" ref="E200:G202" si="6">E197/D197-1</f>
        <v>0</v>
      </c>
      <c r="F200" s="1815">
        <f t="shared" si="6"/>
        <v>0</v>
      </c>
      <c r="G200" s="1815">
        <f t="shared" si="6"/>
        <v>0</v>
      </c>
    </row>
    <row r="201" spans="1:7" ht="20.100000000000001" customHeight="1" thickBot="1" x14ac:dyDescent="0.3">
      <c r="A201" s="1785"/>
      <c r="B201" s="1785"/>
      <c r="C201" s="1791" t="s">
        <v>16</v>
      </c>
      <c r="D201" s="1814" t="s">
        <v>21</v>
      </c>
      <c r="E201" s="1815">
        <f t="shared" si="6"/>
        <v>0</v>
      </c>
      <c r="F201" s="1815">
        <f t="shared" si="6"/>
        <v>0</v>
      </c>
      <c r="G201" s="1815">
        <f t="shared" si="6"/>
        <v>0</v>
      </c>
    </row>
    <row r="202" spans="1:7" ht="20.100000000000001" customHeight="1" thickBot="1" x14ac:dyDescent="0.3">
      <c r="A202" s="1785"/>
      <c r="B202" s="1785"/>
      <c r="C202" s="1791" t="s">
        <v>17</v>
      </c>
      <c r="D202" s="1814" t="s">
        <v>21</v>
      </c>
      <c r="E202" s="1815">
        <f t="shared" si="6"/>
        <v>0</v>
      </c>
      <c r="F202" s="1815">
        <f t="shared" si="6"/>
        <v>0</v>
      </c>
      <c r="G202" s="1815">
        <f t="shared" si="6"/>
        <v>0</v>
      </c>
    </row>
    <row r="203" spans="1:7" ht="20.100000000000001" customHeight="1" thickBot="1" x14ac:dyDescent="0.3">
      <c r="A203" s="1785"/>
      <c r="B203" s="1785"/>
      <c r="C203" s="2915" t="s">
        <v>1189</v>
      </c>
      <c r="D203" s="2916"/>
      <c r="E203" s="2916"/>
      <c r="F203" s="2916"/>
      <c r="G203" s="2917"/>
    </row>
    <row r="204" spans="1:7" ht="20.100000000000001" customHeight="1" x14ac:dyDescent="0.25">
      <c r="A204" s="1785"/>
      <c r="B204" s="1785"/>
      <c r="C204" s="2907"/>
      <c r="D204" s="1792">
        <v>2018</v>
      </c>
      <c r="E204" s="1792">
        <v>2019</v>
      </c>
      <c r="F204" s="1792">
        <v>2020</v>
      </c>
      <c r="G204" s="1792">
        <v>2021</v>
      </c>
    </row>
    <row r="205" spans="1:7" ht="20.100000000000001" customHeight="1" thickBot="1" x14ac:dyDescent="0.3">
      <c r="A205" s="1785"/>
      <c r="B205" s="1785"/>
      <c r="C205" s="2908"/>
      <c r="D205" s="1801" t="s">
        <v>6</v>
      </c>
      <c r="E205" s="1801" t="s">
        <v>7</v>
      </c>
      <c r="F205" s="1801" t="s">
        <v>7</v>
      </c>
      <c r="G205" s="1801" t="s">
        <v>7</v>
      </c>
    </row>
    <row r="206" spans="1:7" ht="20.100000000000001" customHeight="1" thickBot="1" x14ac:dyDescent="0.3">
      <c r="A206" s="1785"/>
      <c r="B206" s="1785"/>
      <c r="C206" s="1791" t="s">
        <v>104</v>
      </c>
      <c r="D206" s="1802"/>
      <c r="E206" s="1802"/>
      <c r="F206" s="1802"/>
      <c r="G206" s="1802"/>
    </row>
    <row r="207" spans="1:7" ht="20.100000000000001" customHeight="1" thickBot="1" x14ac:dyDescent="0.3">
      <c r="A207" s="1785"/>
      <c r="B207" s="1785"/>
      <c r="C207" s="1791" t="s">
        <v>105</v>
      </c>
      <c r="D207" s="1813">
        <v>100000</v>
      </c>
      <c r="E207" s="1813">
        <v>100000</v>
      </c>
      <c r="F207" s="1813">
        <v>100000</v>
      </c>
      <c r="G207" s="1813">
        <v>100000</v>
      </c>
    </row>
    <row r="208" spans="1:7" ht="20.100000000000001" customHeight="1" thickBot="1" x14ac:dyDescent="0.3">
      <c r="A208" s="1785"/>
      <c r="B208" s="1785"/>
      <c r="C208" s="1804" t="s">
        <v>68</v>
      </c>
      <c r="D208" s="1803">
        <f>D207+D206</f>
        <v>100000</v>
      </c>
      <c r="E208" s="1803">
        <f>E207+E206</f>
        <v>100000</v>
      </c>
      <c r="F208" s="1803">
        <f>F207+F206</f>
        <v>100000</v>
      </c>
      <c r="G208" s="1803">
        <f>G207+G206</f>
        <v>100000</v>
      </c>
    </row>
    <row r="209" spans="1:7" ht="20.100000000000001" customHeight="1" thickBot="1" x14ac:dyDescent="0.3">
      <c r="A209" s="1785"/>
      <c r="B209" s="1785"/>
      <c r="C209" s="1790" t="s">
        <v>70</v>
      </c>
      <c r="D209" s="1805">
        <f>D208-D198</f>
        <v>0</v>
      </c>
      <c r="E209" s="1805">
        <f>E208-E198</f>
        <v>0</v>
      </c>
      <c r="F209" s="1805">
        <f>F208-F198</f>
        <v>0</v>
      </c>
      <c r="G209" s="1805">
        <f>G208-G198</f>
        <v>0</v>
      </c>
    </row>
    <row r="210" spans="1:7" ht="20.100000000000001" customHeight="1" x14ac:dyDescent="0.25">
      <c r="A210" s="1785"/>
      <c r="B210" s="1785"/>
      <c r="C210" s="2907" t="s">
        <v>102</v>
      </c>
      <c r="D210" s="2895"/>
      <c r="E210" s="2896"/>
      <c r="F210" s="2896"/>
      <c r="G210" s="2897"/>
    </row>
    <row r="211" spans="1:7" ht="20.100000000000001" customHeight="1" x14ac:dyDescent="0.25">
      <c r="A211" s="1785"/>
      <c r="B211" s="1785"/>
      <c r="C211" s="2923"/>
      <c r="D211" s="2898"/>
      <c r="E211" s="2899"/>
      <c r="F211" s="2899"/>
      <c r="G211" s="2900"/>
    </row>
    <row r="212" spans="1:7" ht="20.100000000000001" customHeight="1" thickBot="1" x14ac:dyDescent="0.3">
      <c r="A212" s="1785"/>
      <c r="B212" s="1785"/>
      <c r="C212" s="2908"/>
      <c r="D212" s="2901"/>
      <c r="E212" s="2902"/>
      <c r="F212" s="2902"/>
      <c r="G212" s="2903"/>
    </row>
    <row r="213" spans="1:7" ht="20.100000000000001" customHeight="1" thickBot="1" x14ac:dyDescent="0.3">
      <c r="A213" s="1785"/>
      <c r="B213" s="1785"/>
      <c r="C213" s="1790"/>
      <c r="D213" s="1805">
        <f>D215-D214</f>
        <v>0</v>
      </c>
      <c r="E213" s="1805">
        <f>E215-E214</f>
        <v>0</v>
      </c>
      <c r="F213" s="1805">
        <f>F215-F214</f>
        <v>0</v>
      </c>
      <c r="G213" s="1805">
        <f>G215-G214</f>
        <v>0</v>
      </c>
    </row>
    <row r="214" spans="1:7" ht="20.100000000000001" customHeight="1" thickBot="1" x14ac:dyDescent="0.3">
      <c r="A214" s="1785"/>
      <c r="B214" s="1785"/>
      <c r="C214" s="1806" t="s">
        <v>116</v>
      </c>
      <c r="D214" s="1805">
        <f>D33+D63+D92+D110+D141+D172+D198</f>
        <v>480422</v>
      </c>
      <c r="E214" s="1805">
        <f t="shared" ref="E214:G214" si="7">E33+E63+E92+E110+E141+E172+E198</f>
        <v>820000</v>
      </c>
      <c r="F214" s="1805">
        <f t="shared" si="7"/>
        <v>880000</v>
      </c>
      <c r="G214" s="1805">
        <f t="shared" si="7"/>
        <v>920960</v>
      </c>
    </row>
    <row r="215" spans="1:7" ht="20.100000000000001" customHeight="1" thickBot="1" x14ac:dyDescent="0.3">
      <c r="A215" s="1785"/>
      <c r="B215" s="1785"/>
      <c r="C215" s="1806" t="s">
        <v>117</v>
      </c>
      <c r="D215" s="1805">
        <f>D217+D219+D221+D223+D225+D227+D229+D231+D233</f>
        <v>480422</v>
      </c>
      <c r="E215" s="1805">
        <f t="shared" ref="E215:G215" si="8">E217+E219+E221+E223+E225+E227+E229+E231+E233</f>
        <v>820000</v>
      </c>
      <c r="F215" s="1805">
        <f t="shared" si="8"/>
        <v>880000</v>
      </c>
      <c r="G215" s="1805">
        <f t="shared" si="8"/>
        <v>920960</v>
      </c>
    </row>
    <row r="216" spans="1:7" ht="20.100000000000001" customHeight="1" thickBot="1" x14ac:dyDescent="0.3">
      <c r="A216" s="1785"/>
      <c r="B216" s="1785"/>
      <c r="C216" s="1816" t="s">
        <v>24</v>
      </c>
      <c r="D216" s="1817"/>
      <c r="E216" s="1818">
        <f>E215/D215-1</f>
        <v>0.70683274288021791</v>
      </c>
      <c r="F216" s="1818">
        <f>F215/E215-1</f>
        <v>7.3170731707317138E-2</v>
      </c>
      <c r="G216" s="1818">
        <f>G215/F215-1</f>
        <v>4.6545454545454445E-2</v>
      </c>
    </row>
    <row r="217" spans="1:7" ht="20.100000000000001" customHeight="1" thickBot="1" x14ac:dyDescent="0.3">
      <c r="A217" s="1785"/>
      <c r="B217" s="1785"/>
      <c r="C217" s="1791" t="s">
        <v>0</v>
      </c>
      <c r="D217" s="1802">
        <f>D41</f>
        <v>14850</v>
      </c>
      <c r="E217" s="1802">
        <f>E41</f>
        <v>14850</v>
      </c>
      <c r="F217" s="1802">
        <f>F41</f>
        <v>14850</v>
      </c>
      <c r="G217" s="1802">
        <f>G41</f>
        <v>14850</v>
      </c>
    </row>
    <row r="218" spans="1:7" ht="20.100000000000001" customHeight="1" thickBot="1" x14ac:dyDescent="0.3">
      <c r="A218" s="1785"/>
      <c r="B218" s="1785"/>
      <c r="C218" s="1819" t="s">
        <v>25</v>
      </c>
      <c r="D218" s="1803"/>
      <c r="E218" s="1820">
        <f>E217/D217-1</f>
        <v>0</v>
      </c>
      <c r="F218" s="1820">
        <f>F217/E217-1</f>
        <v>0</v>
      </c>
      <c r="G218" s="1820">
        <f>G217/F217-1</f>
        <v>0</v>
      </c>
    </row>
    <row r="219" spans="1:7" ht="20.100000000000001" customHeight="1" thickBot="1" x14ac:dyDescent="0.3">
      <c r="A219" s="1785"/>
      <c r="B219" s="1785"/>
      <c r="C219" s="1791" t="s">
        <v>49</v>
      </c>
      <c r="D219" s="1802">
        <f>D42</f>
        <v>2650</v>
      </c>
      <c r="E219" s="1802">
        <f>E42</f>
        <v>2650</v>
      </c>
      <c r="F219" s="1802">
        <f>F42</f>
        <v>2650</v>
      </c>
      <c r="G219" s="1802">
        <f>G42</f>
        <v>2650</v>
      </c>
    </row>
    <row r="220" spans="1:7" ht="20.100000000000001" customHeight="1" thickBot="1" x14ac:dyDescent="0.3">
      <c r="A220" s="1785"/>
      <c r="B220" s="1785"/>
      <c r="C220" s="1819" t="s">
        <v>50</v>
      </c>
      <c r="D220" s="1803"/>
      <c r="E220" s="1820">
        <f>E219/D219-1</f>
        <v>0</v>
      </c>
      <c r="F220" s="1820">
        <f>F219/E219-1</f>
        <v>0</v>
      </c>
      <c r="G220" s="1820">
        <f>G219/F219-1</f>
        <v>0</v>
      </c>
    </row>
    <row r="221" spans="1:7" ht="20.100000000000001" customHeight="1" thickBot="1" x14ac:dyDescent="0.3">
      <c r="A221" s="1785"/>
      <c r="B221" s="1785"/>
      <c r="C221" s="1791" t="s">
        <v>1</v>
      </c>
      <c r="D221" s="1802">
        <f>D43+D73+D120+D151+D182</f>
        <v>11600</v>
      </c>
      <c r="E221" s="1802">
        <f>E43+E73+E120+E151+E182</f>
        <v>3000</v>
      </c>
      <c r="F221" s="1802">
        <f>F43+F73+F120+F151+F182</f>
        <v>3500</v>
      </c>
      <c r="G221" s="1802">
        <f>G43+G73+G120+G151+G182</f>
        <v>3800</v>
      </c>
    </row>
    <row r="222" spans="1:7" ht="20.100000000000001" customHeight="1" thickBot="1" x14ac:dyDescent="0.3">
      <c r="A222" s="1785"/>
      <c r="B222" s="1785"/>
      <c r="C222" s="1819" t="s">
        <v>26</v>
      </c>
      <c r="D222" s="1803"/>
      <c r="E222" s="1820">
        <v>0</v>
      </c>
      <c r="F222" s="1820">
        <v>0</v>
      </c>
      <c r="G222" s="1820">
        <v>0</v>
      </c>
    </row>
    <row r="223" spans="1:7" ht="20.100000000000001" customHeight="1" thickBot="1" x14ac:dyDescent="0.3">
      <c r="A223" s="1785"/>
      <c r="B223" s="1785"/>
      <c r="C223" s="1791" t="s">
        <v>2</v>
      </c>
      <c r="D223" s="1802">
        <v>0</v>
      </c>
      <c r="E223" s="1802">
        <v>0</v>
      </c>
      <c r="F223" s="1802">
        <v>0</v>
      </c>
      <c r="G223" s="1802">
        <v>0</v>
      </c>
    </row>
    <row r="224" spans="1:7" ht="20.100000000000001" customHeight="1" thickBot="1" x14ac:dyDescent="0.3">
      <c r="A224" s="1785"/>
      <c r="B224" s="1785"/>
      <c r="C224" s="1819" t="s">
        <v>27</v>
      </c>
      <c r="D224" s="1803"/>
      <c r="E224" s="1820"/>
      <c r="F224" s="1820"/>
      <c r="G224" s="1820"/>
    </row>
    <row r="225" spans="1:7" ht="20.100000000000001" customHeight="1" thickBot="1" x14ac:dyDescent="0.3">
      <c r="A225" s="1785"/>
      <c r="B225" s="1785"/>
      <c r="C225" s="1819" t="s">
        <v>28</v>
      </c>
      <c r="D225" s="1803">
        <f>D45+D75+D122+D153+D184</f>
        <v>17200</v>
      </c>
      <c r="E225" s="1803">
        <f>E45+E75+E122+E153+E184</f>
        <v>39500</v>
      </c>
      <c r="F225" s="1803">
        <f>F45+F75+F122+F153+F184</f>
        <v>69000</v>
      </c>
      <c r="G225" s="1803">
        <f>G45+G75+G122+G153+G184</f>
        <v>235660</v>
      </c>
    </row>
    <row r="226" spans="1:7" ht="20.100000000000001" customHeight="1" thickBot="1" x14ac:dyDescent="0.3">
      <c r="A226" s="1785"/>
      <c r="B226" s="1785"/>
      <c r="C226" s="1819" t="s">
        <v>29</v>
      </c>
      <c r="D226" s="1803"/>
      <c r="E226" s="1820">
        <f>E225/D225-1</f>
        <v>1.2965116279069768</v>
      </c>
      <c r="F226" s="1820">
        <f>F225/E225-1</f>
        <v>0.74683544303797467</v>
      </c>
      <c r="G226" s="1820">
        <f>G225/F225-1</f>
        <v>2.4153623188405797</v>
      </c>
    </row>
    <row r="227" spans="1:7" ht="20.100000000000001" customHeight="1" thickBot="1" x14ac:dyDescent="0.3">
      <c r="A227" s="1785"/>
      <c r="B227" s="1785"/>
      <c r="C227" s="1791" t="s">
        <v>30</v>
      </c>
      <c r="D227" s="1802">
        <f>D46+D76+D123+D154+D185</f>
        <v>140000</v>
      </c>
      <c r="E227" s="1802">
        <f>E46+E76+E123+E154+E185</f>
        <v>140000</v>
      </c>
      <c r="F227" s="1802">
        <f>F46+F76+F123+F154+F185</f>
        <v>140000</v>
      </c>
      <c r="G227" s="1802">
        <f>G46+G76+G123+G154+G185</f>
        <v>14000</v>
      </c>
    </row>
    <row r="228" spans="1:7" ht="20.100000000000001" customHeight="1" thickBot="1" x14ac:dyDescent="0.3">
      <c r="A228" s="1785"/>
      <c r="B228" s="1785"/>
      <c r="C228" s="1819" t="s">
        <v>31</v>
      </c>
      <c r="D228" s="1803"/>
      <c r="E228" s="1820">
        <f>E227/D227-1</f>
        <v>0</v>
      </c>
      <c r="F228" s="1820">
        <f>F227/E227-1</f>
        <v>0</v>
      </c>
      <c r="G228" s="1820">
        <f>G227/F227-1</f>
        <v>-0.9</v>
      </c>
    </row>
    <row r="229" spans="1:7" ht="20.100000000000001" customHeight="1" thickBot="1" x14ac:dyDescent="0.3">
      <c r="A229" s="1785"/>
      <c r="B229" s="1785"/>
      <c r="C229" s="1791" t="s">
        <v>3</v>
      </c>
      <c r="D229" s="1802">
        <f>D47+D77+D124+D155+D186</f>
        <v>132000</v>
      </c>
      <c r="E229" s="1802">
        <f>E47+E77+E124+E155+E186</f>
        <v>150000</v>
      </c>
      <c r="F229" s="1802">
        <f>F47+F77+F124+F155+F186</f>
        <v>150000</v>
      </c>
      <c r="G229" s="1802">
        <f>G47+G77+G124+G155+G186</f>
        <v>150000</v>
      </c>
    </row>
    <row r="230" spans="1:7" ht="20.100000000000001" customHeight="1" thickBot="1" x14ac:dyDescent="0.3">
      <c r="A230" s="1785"/>
      <c r="B230" s="1785"/>
      <c r="C230" s="1819" t="s">
        <v>32</v>
      </c>
      <c r="D230" s="1803"/>
      <c r="E230" s="1820">
        <f>E229/D229-1</f>
        <v>0.13636363636363646</v>
      </c>
      <c r="F230" s="1820">
        <f>F229/E229-1</f>
        <v>0</v>
      </c>
      <c r="G230" s="1820">
        <f>G229/F229-1</f>
        <v>0</v>
      </c>
    </row>
    <row r="231" spans="1:7" ht="20.100000000000001" customHeight="1" thickBot="1" x14ac:dyDescent="0.3">
      <c r="A231" s="1785"/>
      <c r="B231" s="1785"/>
      <c r="C231" s="1791" t="s">
        <v>18</v>
      </c>
      <c r="D231" s="1802">
        <f>D100+D206</f>
        <v>0</v>
      </c>
      <c r="E231" s="1802">
        <f>E100+E206</f>
        <v>0</v>
      </c>
      <c r="F231" s="1802">
        <f>F100+F206</f>
        <v>0</v>
      </c>
      <c r="G231" s="1802">
        <f>G100+G206</f>
        <v>0</v>
      </c>
    </row>
    <row r="232" spans="1:7" ht="20.100000000000001" customHeight="1" thickBot="1" x14ac:dyDescent="0.3">
      <c r="A232" s="1785"/>
      <c r="B232" s="1785"/>
      <c r="C232" s="1819" t="s">
        <v>33</v>
      </c>
      <c r="D232" s="1803"/>
      <c r="E232" s="1820"/>
      <c r="F232" s="1820"/>
      <c r="G232" s="1820"/>
    </row>
    <row r="233" spans="1:7" ht="20.100000000000001" customHeight="1" thickBot="1" x14ac:dyDescent="0.3">
      <c r="A233" s="1785"/>
      <c r="B233" s="1785"/>
      <c r="C233" s="1791" t="s">
        <v>19</v>
      </c>
      <c r="D233" s="1802">
        <f>D101+D207</f>
        <v>162122</v>
      </c>
      <c r="E233" s="1802">
        <f>E101+E207</f>
        <v>470000</v>
      </c>
      <c r="F233" s="1802">
        <f>F101+F207</f>
        <v>500000</v>
      </c>
      <c r="G233" s="1802">
        <f>G101+G207</f>
        <v>500000</v>
      </c>
    </row>
    <row r="234" spans="1:7" ht="20.100000000000001" customHeight="1" thickBot="1" x14ac:dyDescent="0.3">
      <c r="A234" s="1785"/>
      <c r="B234" s="1785"/>
      <c r="C234" s="1819" t="s">
        <v>34</v>
      </c>
      <c r="D234" s="1803"/>
      <c r="E234" s="1820">
        <f>E233/D233-1</f>
        <v>1.8990513317131543</v>
      </c>
      <c r="F234" s="1820">
        <f>F233/E233-1</f>
        <v>6.3829787234042534E-2</v>
      </c>
      <c r="G234" s="1820">
        <f>G233/F233-1</f>
        <v>0</v>
      </c>
    </row>
    <row r="235" spans="1:7" ht="20.100000000000001" customHeight="1" thickBot="1" x14ac:dyDescent="0.3">
      <c r="A235" s="1785"/>
      <c r="B235" s="1785"/>
      <c r="C235" s="1790" t="s">
        <v>70</v>
      </c>
      <c r="D235" s="1805">
        <f>D214-D215</f>
        <v>0</v>
      </c>
      <c r="E235" s="1805">
        <f t="shared" ref="E235:G235" si="9">E214-E215</f>
        <v>0</v>
      </c>
      <c r="F235" s="1805">
        <f t="shared" si="9"/>
        <v>0</v>
      </c>
      <c r="G235" s="1805">
        <f t="shared" si="9"/>
        <v>0</v>
      </c>
    </row>
    <row r="236" spans="1:7" ht="20.100000000000001" customHeight="1" thickBot="1" x14ac:dyDescent="0.3">
      <c r="A236" s="1785"/>
      <c r="B236" s="1785"/>
      <c r="C236" s="1806" t="s">
        <v>55</v>
      </c>
      <c r="D236" s="1802">
        <v>18</v>
      </c>
      <c r="E236" s="1802">
        <v>18</v>
      </c>
      <c r="F236" s="1802">
        <v>18</v>
      </c>
      <c r="G236" s="1802">
        <v>18</v>
      </c>
    </row>
    <row r="237" spans="1:7" ht="20.100000000000001" customHeight="1" thickBot="1" x14ac:dyDescent="0.3">
      <c r="A237" s="1785"/>
      <c r="B237" s="1785"/>
      <c r="C237" s="1806" t="s">
        <v>64</v>
      </c>
      <c r="D237" s="1802">
        <v>0</v>
      </c>
      <c r="E237" s="1802">
        <v>0</v>
      </c>
      <c r="F237" s="1802">
        <v>0</v>
      </c>
      <c r="G237" s="1802">
        <v>0</v>
      </c>
    </row>
    <row r="238" spans="1:7" ht="20.100000000000001" customHeight="1" x14ac:dyDescent="0.25">
      <c r="A238" s="1785"/>
      <c r="B238" s="1785"/>
      <c r="C238" s="1821"/>
      <c r="D238" s="1822"/>
      <c r="E238" s="1822"/>
      <c r="F238" s="1822"/>
      <c r="G238" s="1822"/>
    </row>
  </sheetData>
  <mergeCells count="73">
    <mergeCell ref="C2:G2"/>
    <mergeCell ref="D50:G50"/>
    <mergeCell ref="C51:G51"/>
    <mergeCell ref="D80:G80"/>
    <mergeCell ref="C107:C108"/>
    <mergeCell ref="D106:G106"/>
    <mergeCell ref="D105:G105"/>
    <mergeCell ref="D104:G104"/>
    <mergeCell ref="C85:G85"/>
    <mergeCell ref="C30:C31"/>
    <mergeCell ref="C190:G190"/>
    <mergeCell ref="D27:G27"/>
    <mergeCell ref="D127:G127"/>
    <mergeCell ref="C128:G128"/>
    <mergeCell ref="D158:G158"/>
    <mergeCell ref="C147:C148"/>
    <mergeCell ref="C116:C117"/>
    <mergeCell ref="D29:G29"/>
    <mergeCell ref="D10:D11"/>
    <mergeCell ref="C210:C212"/>
    <mergeCell ref="C159:G159"/>
    <mergeCell ref="D191:G191"/>
    <mergeCell ref="D192:G192"/>
    <mergeCell ref="D166:G166"/>
    <mergeCell ref="D167:G167"/>
    <mergeCell ref="D168:G168"/>
    <mergeCell ref="C169:C170"/>
    <mergeCell ref="D193:G193"/>
    <mergeCell ref="D194:G194"/>
    <mergeCell ref="C204:C205"/>
    <mergeCell ref="C195:C196"/>
    <mergeCell ref="C203:G203"/>
    <mergeCell ref="C189:G189"/>
    <mergeCell ref="C60:C61"/>
    <mergeCell ref="C177:G177"/>
    <mergeCell ref="C164:G164"/>
    <mergeCell ref="C165:G165"/>
    <mergeCell ref="D4:G4"/>
    <mergeCell ref="D5:G5"/>
    <mergeCell ref="D6:G6"/>
    <mergeCell ref="C7:G7"/>
    <mergeCell ref="C146:G146"/>
    <mergeCell ref="C133:G133"/>
    <mergeCell ref="C134:G134"/>
    <mergeCell ref="D135:G135"/>
    <mergeCell ref="D136:G136"/>
    <mergeCell ref="D137:G137"/>
    <mergeCell ref="C138:C139"/>
    <mergeCell ref="D28:G28"/>
    <mergeCell ref="C8:G8"/>
    <mergeCell ref="D9:G9"/>
    <mergeCell ref="C10:C11"/>
    <mergeCell ref="D20:G20"/>
    <mergeCell ref="C21:G21"/>
    <mergeCell ref="E10:E11"/>
    <mergeCell ref="F10:F11"/>
    <mergeCell ref="G10:G11"/>
    <mergeCell ref="D210:G212"/>
    <mergeCell ref="C84:G84"/>
    <mergeCell ref="C98:C99"/>
    <mergeCell ref="C55:G55"/>
    <mergeCell ref="C56:G56"/>
    <mergeCell ref="D57:G57"/>
    <mergeCell ref="D58:G58"/>
    <mergeCell ref="D59:G59"/>
    <mergeCell ref="C115:G115"/>
    <mergeCell ref="D86:G86"/>
    <mergeCell ref="D87:G87"/>
    <mergeCell ref="D88:G88"/>
    <mergeCell ref="C89:C90"/>
    <mergeCell ref="C97:G97"/>
    <mergeCell ref="C178:C179"/>
    <mergeCell ref="C81:G81"/>
  </mergeCells>
  <printOptions horizontalCentered="1" verticalCentered="1"/>
  <pageMargins left="7.874015748031496E-2" right="7.874015748031496E-2" top="0.43307086614173229" bottom="0.43307086614173229" header="0.31496062992125984" footer="0.31496062992125984"/>
  <pageSetup scale="8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J201"/>
  <sheetViews>
    <sheetView topLeftCell="A22" zoomScale="112" zoomScaleNormal="112" workbookViewId="0">
      <selection activeCell="D32" sqref="D32"/>
    </sheetView>
  </sheetViews>
  <sheetFormatPr defaultColWidth="8.85546875" defaultRowHeight="12.6" customHeight="1" x14ac:dyDescent="0.25"/>
  <cols>
    <col min="1" max="1" width="3.28515625" style="618" customWidth="1"/>
    <col min="2" max="2" width="6.5703125" style="618" customWidth="1"/>
    <col min="3" max="3" width="44.42578125" style="618" customWidth="1"/>
    <col min="4" max="4" width="12.28515625" style="618" customWidth="1"/>
    <col min="5" max="5" width="11.5703125" style="618" customWidth="1"/>
    <col min="6" max="6" width="12.140625" style="618" customWidth="1"/>
    <col min="7" max="7" width="15.5703125" style="618" customWidth="1"/>
    <col min="8" max="8" width="8.85546875" style="618"/>
    <col min="9" max="9" width="9" style="618" customWidth="1"/>
    <col min="10" max="10" width="9.7109375" style="618" customWidth="1"/>
    <col min="11" max="16384" width="8.85546875" style="618"/>
  </cols>
  <sheetData>
    <row r="2" spans="3:7" ht="12.6" customHeight="1" x14ac:dyDescent="0.25">
      <c r="C2" s="2816" t="s">
        <v>128</v>
      </c>
      <c r="D2" s="2816"/>
      <c r="E2" s="2816"/>
      <c r="F2" s="2816"/>
      <c r="G2" s="2816"/>
    </row>
    <row r="3" spans="3:7" ht="12.6" customHeight="1" x14ac:dyDescent="0.25">
      <c r="C3" s="2817" t="s">
        <v>127</v>
      </c>
      <c r="D3" s="2817"/>
      <c r="E3" s="2817"/>
      <c r="F3" s="2817"/>
      <c r="G3" s="2817"/>
    </row>
    <row r="4" spans="3:7" ht="12.6" customHeight="1" thickBot="1" x14ac:dyDescent="0.3"/>
    <row r="5" spans="3:7" ht="12.6" customHeight="1" thickBot="1" x14ac:dyDescent="0.3">
      <c r="C5" s="1260" t="s">
        <v>20</v>
      </c>
      <c r="D5" s="2818" t="s">
        <v>863</v>
      </c>
      <c r="E5" s="2818"/>
      <c r="F5" s="2818"/>
      <c r="G5" s="2819"/>
    </row>
    <row r="6" spans="3:7" ht="12.6" customHeight="1" thickBot="1" x14ac:dyDescent="0.3">
      <c r="C6" s="1260" t="s">
        <v>4</v>
      </c>
      <c r="D6" s="2820" t="s">
        <v>457</v>
      </c>
      <c r="E6" s="2821"/>
      <c r="F6" s="2821"/>
      <c r="G6" s="2822"/>
    </row>
    <row r="7" spans="3:7" ht="12.6" customHeight="1" thickBot="1" x14ac:dyDescent="0.3">
      <c r="C7" s="1260" t="s">
        <v>35</v>
      </c>
      <c r="D7" s="2823" t="s">
        <v>5</v>
      </c>
      <c r="E7" s="2824"/>
      <c r="F7" s="2824"/>
      <c r="G7" s="2825"/>
    </row>
    <row r="8" spans="3:7" ht="12.6" customHeight="1" thickBot="1" x14ac:dyDescent="0.3">
      <c r="C8" s="2813" t="s">
        <v>8</v>
      </c>
      <c r="D8" s="2814"/>
      <c r="E8" s="2814"/>
      <c r="F8" s="2814"/>
      <c r="G8" s="2815"/>
    </row>
    <row r="9" spans="3:7" ht="12.6" customHeight="1" x14ac:dyDescent="0.25">
      <c r="C9" s="2943" t="s">
        <v>119</v>
      </c>
      <c r="D9" s="1415">
        <v>2018</v>
      </c>
      <c r="E9" s="1415">
        <v>2019</v>
      </c>
      <c r="F9" s="1415">
        <v>2020</v>
      </c>
      <c r="G9" s="1415">
        <v>2021</v>
      </c>
    </row>
    <row r="10" spans="3:7" ht="12.6" customHeight="1" thickBot="1" x14ac:dyDescent="0.3">
      <c r="C10" s="2944"/>
      <c r="D10" s="1416" t="s">
        <v>6</v>
      </c>
      <c r="E10" s="1416" t="s">
        <v>7</v>
      </c>
      <c r="F10" s="1416" t="s">
        <v>7</v>
      </c>
      <c r="G10" s="1416" t="s">
        <v>7</v>
      </c>
    </row>
    <row r="11" spans="3:7" ht="12.6" customHeight="1" x14ac:dyDescent="0.25">
      <c r="C11" s="1264" t="s">
        <v>859</v>
      </c>
      <c r="D11" s="1265">
        <v>1.25193873536316E-2</v>
      </c>
      <c r="E11" s="1265">
        <v>2.0861932095276037E-2</v>
      </c>
      <c r="F11" s="1266">
        <v>2.1519049249278624E-2</v>
      </c>
      <c r="G11" s="1266">
        <v>2.2653613420573621E-2</v>
      </c>
    </row>
    <row r="12" spans="3:7" ht="12.6" customHeight="1" x14ac:dyDescent="0.25">
      <c r="C12" s="1267" t="s">
        <v>687</v>
      </c>
      <c r="D12" s="1268">
        <v>2.9117331898140069E-4</v>
      </c>
      <c r="E12" s="1268">
        <v>4.672385970990181E-4</v>
      </c>
      <c r="F12" s="1269">
        <v>4.6983975794709923E-4</v>
      </c>
      <c r="G12" s="1269">
        <v>4.604008110604976E-4</v>
      </c>
    </row>
    <row r="13" spans="3:7" ht="12.6" customHeight="1" x14ac:dyDescent="0.25">
      <c r="C13" s="1264" t="s">
        <v>686</v>
      </c>
      <c r="D13" s="1265">
        <v>9.6650967974265143E-4</v>
      </c>
      <c r="E13" s="1265">
        <v>1.5659942440162788E-3</v>
      </c>
      <c r="F13" s="1266">
        <v>1.6006926633706949E-3</v>
      </c>
      <c r="G13" s="1266">
        <v>1.6103064086334356E-3</v>
      </c>
    </row>
    <row r="14" spans="3:7" ht="12.6" customHeight="1" x14ac:dyDescent="0.25">
      <c r="C14" s="1264" t="s">
        <v>858</v>
      </c>
      <c r="D14" s="1270">
        <v>480422</v>
      </c>
      <c r="E14" s="1270">
        <v>820000</v>
      </c>
      <c r="F14" s="1270">
        <v>880000</v>
      </c>
      <c r="G14" s="1270">
        <v>920960</v>
      </c>
    </row>
    <row r="15" spans="3:7" ht="21.6" customHeight="1" x14ac:dyDescent="0.25">
      <c r="C15" s="1271" t="s">
        <v>994</v>
      </c>
      <c r="D15" s="1272">
        <v>12186945</v>
      </c>
      <c r="E15" s="1272">
        <v>12834691</v>
      </c>
      <c r="F15" s="1273">
        <v>13429951</v>
      </c>
      <c r="G15" s="1273">
        <v>13659951</v>
      </c>
    </row>
    <row r="16" spans="3:7" ht="12.6" customHeight="1" x14ac:dyDescent="0.25">
      <c r="C16" s="1274" t="s">
        <v>861</v>
      </c>
      <c r="D16" s="1275">
        <v>0.31758138701475852</v>
      </c>
      <c r="E16" s="1275">
        <v>0.32653225866567132</v>
      </c>
      <c r="F16" s="1266">
        <v>0.32840883748227123</v>
      </c>
      <c r="G16" s="1266">
        <v>0.3360050917498893</v>
      </c>
    </row>
    <row r="17" spans="3:7" ht="12.6" customHeight="1" x14ac:dyDescent="0.25">
      <c r="C17" s="1274" t="s">
        <v>687</v>
      </c>
      <c r="D17" s="1275">
        <v>7.3862421452260433E-3</v>
      </c>
      <c r="E17" s="1275">
        <v>7.3132475817553584E-3</v>
      </c>
      <c r="F17" s="1266">
        <v>7.1703692353197769E-3</v>
      </c>
      <c r="G17" s="1266">
        <v>6.8288009462372469E-3</v>
      </c>
    </row>
    <row r="18" spans="3:7" ht="12.6" customHeight="1" x14ac:dyDescent="0.25">
      <c r="C18" s="1274" t="s">
        <v>686</v>
      </c>
      <c r="D18" s="1275">
        <v>2.4517612242968279E-2</v>
      </c>
      <c r="E18" s="1275">
        <v>2.4511039304545776E-2</v>
      </c>
      <c r="F18" s="1266">
        <v>2.4428663676281735E-2</v>
      </c>
      <c r="G18" s="1266">
        <v>2.3884540736751551E-2</v>
      </c>
    </row>
    <row r="19" spans="3:7" ht="12.6" customHeight="1" thickBot="1" x14ac:dyDescent="0.3">
      <c r="C19" s="1302" t="s">
        <v>1021</v>
      </c>
      <c r="D19" s="1303">
        <v>3000</v>
      </c>
      <c r="E19" s="1303">
        <v>3200</v>
      </c>
      <c r="F19" s="1303">
        <v>3400</v>
      </c>
      <c r="G19" s="1303">
        <v>3600</v>
      </c>
    </row>
    <row r="20" spans="3:7" ht="12.6" customHeight="1" thickBot="1" x14ac:dyDescent="0.3">
      <c r="C20" s="1302" t="s">
        <v>810</v>
      </c>
      <c r="D20" s="1303">
        <v>34208</v>
      </c>
      <c r="E20" s="1303">
        <v>32100</v>
      </c>
      <c r="F20" s="1303">
        <v>31000</v>
      </c>
      <c r="G20" s="1303">
        <v>30000</v>
      </c>
    </row>
    <row r="21" spans="3:7" ht="12.6" customHeight="1" thickBot="1" x14ac:dyDescent="0.3">
      <c r="C21" s="1413" t="s">
        <v>1022</v>
      </c>
      <c r="D21" s="1414">
        <f>D26/D19</f>
        <v>160.14066666666668</v>
      </c>
      <c r="E21" s="1414">
        <f t="shared" ref="E21:G21" si="0">E26/E19</f>
        <v>365.625</v>
      </c>
      <c r="F21" s="1414">
        <f t="shared" si="0"/>
        <v>405.88235294117646</v>
      </c>
      <c r="G21" s="1414">
        <f t="shared" si="0"/>
        <v>464.15555555555557</v>
      </c>
    </row>
    <row r="22" spans="3:7" ht="12.6" customHeight="1" thickBot="1" x14ac:dyDescent="0.3">
      <c r="C22" s="1302" t="s">
        <v>966</v>
      </c>
      <c r="D22" s="1303">
        <v>3600</v>
      </c>
      <c r="E22" s="1303">
        <v>3700</v>
      </c>
      <c r="F22" s="1303">
        <v>3800</v>
      </c>
      <c r="G22" s="1303">
        <v>3900</v>
      </c>
    </row>
    <row r="23" spans="3:7" ht="12.6" customHeight="1" thickBot="1" x14ac:dyDescent="0.3">
      <c r="C23" s="1302" t="s">
        <v>806</v>
      </c>
      <c r="D23" s="1303">
        <v>4680</v>
      </c>
      <c r="E23" s="1303">
        <v>4810</v>
      </c>
      <c r="F23" s="1303">
        <v>4940</v>
      </c>
      <c r="G23" s="1303">
        <v>5070</v>
      </c>
    </row>
    <row r="24" spans="3:7" s="1279" customFormat="1" ht="13.9" customHeight="1" thickBot="1" x14ac:dyDescent="0.3">
      <c r="C24" s="1397" t="s">
        <v>1003</v>
      </c>
      <c r="D24" s="1303" t="s">
        <v>1004</v>
      </c>
      <c r="E24" s="1303" t="s">
        <v>1004</v>
      </c>
      <c r="F24" s="1303" t="s">
        <v>1004</v>
      </c>
      <c r="G24" s="1303" t="s">
        <v>1004</v>
      </c>
    </row>
    <row r="25" spans="3:7" ht="12.6" customHeight="1" thickBot="1" x14ac:dyDescent="0.3">
      <c r="C25" s="1397" t="s">
        <v>1005</v>
      </c>
      <c r="D25" s="1303" t="s">
        <v>1004</v>
      </c>
      <c r="E25" s="1303" t="s">
        <v>1004</v>
      </c>
      <c r="F25" s="1303" t="s">
        <v>1004</v>
      </c>
      <c r="G25" s="1303" t="s">
        <v>1004</v>
      </c>
    </row>
    <row r="26" spans="3:7" ht="12.6" customHeight="1" thickBot="1" x14ac:dyDescent="0.3">
      <c r="C26" s="1419" t="s">
        <v>1020</v>
      </c>
      <c r="D26" s="1420">
        <v>480422</v>
      </c>
      <c r="E26" s="1420">
        <v>1170000</v>
      </c>
      <c r="F26" s="1420">
        <v>1380000</v>
      </c>
      <c r="G26" s="1420">
        <v>1670960</v>
      </c>
    </row>
    <row r="27" spans="3:7" ht="32.450000000000003" customHeight="1" thickBot="1" x14ac:dyDescent="0.3">
      <c r="C27" s="1282" t="s">
        <v>10</v>
      </c>
      <c r="D27" s="2829" t="s">
        <v>857</v>
      </c>
      <c r="E27" s="2830"/>
      <c r="F27" s="2830"/>
      <c r="G27" s="2831"/>
    </row>
    <row r="28" spans="3:7" ht="12.6" customHeight="1" thickBot="1" x14ac:dyDescent="0.3">
      <c r="C28" s="1282" t="s">
        <v>13</v>
      </c>
      <c r="D28" s="2945" t="s">
        <v>856</v>
      </c>
      <c r="E28" s="2946"/>
      <c r="F28" s="2946"/>
      <c r="G28" s="2947"/>
    </row>
    <row r="29" spans="3:7" ht="12.6" customHeight="1" x14ac:dyDescent="0.25">
      <c r="C29" s="2834"/>
      <c r="D29" s="1283">
        <v>2018</v>
      </c>
      <c r="E29" s="1283">
        <v>2019</v>
      </c>
      <c r="F29" s="1283">
        <v>2020</v>
      </c>
      <c r="G29" s="1283">
        <v>2021</v>
      </c>
    </row>
    <row r="30" spans="3:7" ht="12.6" customHeight="1" thickBot="1" x14ac:dyDescent="0.3">
      <c r="C30" s="2835"/>
      <c r="D30" s="1284" t="s">
        <v>6</v>
      </c>
      <c r="E30" s="1284" t="s">
        <v>7</v>
      </c>
      <c r="F30" s="1284" t="s">
        <v>7</v>
      </c>
      <c r="G30" s="1284" t="s">
        <v>7</v>
      </c>
    </row>
    <row r="31" spans="3:7" ht="12.6" customHeight="1" thickBot="1" x14ac:dyDescent="0.3">
      <c r="C31" s="1282" t="s">
        <v>9</v>
      </c>
      <c r="D31" s="1285">
        <v>40</v>
      </c>
      <c r="E31" s="1285">
        <v>64</v>
      </c>
      <c r="F31" s="1285">
        <v>75</v>
      </c>
      <c r="G31" s="1285">
        <v>210</v>
      </c>
    </row>
    <row r="32" spans="3:7" ht="12.6" customHeight="1" thickBot="1" x14ac:dyDescent="0.3">
      <c r="C32" s="1282" t="s">
        <v>14</v>
      </c>
      <c r="D32" s="1417">
        <v>28300</v>
      </c>
      <c r="E32" s="1417">
        <v>49000</v>
      </c>
      <c r="F32" s="1417">
        <v>73800</v>
      </c>
      <c r="G32" s="1417">
        <v>231360</v>
      </c>
    </row>
    <row r="33" spans="3:7" ht="12.6" customHeight="1" thickBot="1" x14ac:dyDescent="0.3">
      <c r="C33" s="1282" t="s">
        <v>23</v>
      </c>
      <c r="D33" s="1287">
        <f>D32/D31</f>
        <v>707.5</v>
      </c>
      <c r="E33" s="1287">
        <f>E32/E31</f>
        <v>765.625</v>
      </c>
      <c r="F33" s="1287">
        <f>F32/F31</f>
        <v>984</v>
      </c>
      <c r="G33" s="1287">
        <f>G32/G31</f>
        <v>1101.7142857142858</v>
      </c>
    </row>
    <row r="34" spans="3:7" ht="12.6" customHeight="1" thickBot="1" x14ac:dyDescent="0.3">
      <c r="C34" s="1282" t="s">
        <v>15</v>
      </c>
      <c r="D34" s="1288"/>
      <c r="E34" s="1289">
        <f t="shared" ref="E34:G36" si="1">E31/D31-1</f>
        <v>0.60000000000000009</v>
      </c>
      <c r="F34" s="1289">
        <f t="shared" si="1"/>
        <v>0.171875</v>
      </c>
      <c r="G34" s="1289">
        <f t="shared" si="1"/>
        <v>1.7999999999999998</v>
      </c>
    </row>
    <row r="35" spans="3:7" ht="12.6" customHeight="1" thickBot="1" x14ac:dyDescent="0.3">
      <c r="C35" s="1282" t="s">
        <v>16</v>
      </c>
      <c r="D35" s="1288"/>
      <c r="E35" s="1289">
        <f t="shared" si="1"/>
        <v>0.73144876325088348</v>
      </c>
      <c r="F35" s="1289">
        <f t="shared" si="1"/>
        <v>0.50612244897959191</v>
      </c>
      <c r="G35" s="1289">
        <f t="shared" si="1"/>
        <v>2.1349593495934958</v>
      </c>
    </row>
    <row r="36" spans="3:7" ht="12.6" customHeight="1" thickBot="1" x14ac:dyDescent="0.3">
      <c r="C36" s="1282" t="s">
        <v>17</v>
      </c>
      <c r="D36" s="1288"/>
      <c r="E36" s="1289">
        <f t="shared" si="1"/>
        <v>8.2155477031802038E-2</v>
      </c>
      <c r="F36" s="1289">
        <f t="shared" si="1"/>
        <v>0.28522448979591841</v>
      </c>
      <c r="G36" s="1289">
        <f t="shared" si="1"/>
        <v>0.11962833914053439</v>
      </c>
    </row>
    <row r="37" spans="3:7" ht="12.6" customHeight="1" thickBot="1" x14ac:dyDescent="0.3">
      <c r="C37" s="1290" t="s">
        <v>990</v>
      </c>
      <c r="D37" s="1291"/>
      <c r="E37" s="1291"/>
      <c r="F37" s="1291"/>
      <c r="G37" s="1292"/>
    </row>
    <row r="38" spans="3:7" ht="12.6" customHeight="1" x14ac:dyDescent="0.25">
      <c r="C38" s="1293"/>
      <c r="D38" s="1262">
        <v>2018</v>
      </c>
      <c r="E38" s="1262">
        <v>2019</v>
      </c>
      <c r="F38" s="1262">
        <v>2020</v>
      </c>
      <c r="G38" s="1262">
        <v>2021</v>
      </c>
    </row>
    <row r="39" spans="3:7" ht="12.6" customHeight="1" thickBot="1" x14ac:dyDescent="0.3">
      <c r="C39" s="1282"/>
      <c r="D39" s="1263" t="s">
        <v>6</v>
      </c>
      <c r="E39" s="1263" t="s">
        <v>7</v>
      </c>
      <c r="F39" s="1263" t="s">
        <v>7</v>
      </c>
      <c r="G39" s="1263" t="s">
        <v>7</v>
      </c>
    </row>
    <row r="40" spans="3:7" ht="12.6" customHeight="1" thickBot="1" x14ac:dyDescent="0.3">
      <c r="C40" s="1294" t="s">
        <v>0</v>
      </c>
      <c r="D40" s="1295">
        <v>14850</v>
      </c>
      <c r="E40" s="1295">
        <v>14850</v>
      </c>
      <c r="F40" s="1295">
        <v>14850</v>
      </c>
      <c r="G40" s="1295">
        <v>14850</v>
      </c>
    </row>
    <row r="41" spans="3:7" ht="12.6" customHeight="1" thickBot="1" x14ac:dyDescent="0.3">
      <c r="C41" s="1294" t="s">
        <v>49</v>
      </c>
      <c r="D41" s="1295">
        <v>2650</v>
      </c>
      <c r="E41" s="1295">
        <v>2650</v>
      </c>
      <c r="F41" s="1295">
        <v>2650</v>
      </c>
      <c r="G41" s="1295">
        <v>2650</v>
      </c>
    </row>
    <row r="42" spans="3:7" ht="12.6" customHeight="1" thickBot="1" x14ac:dyDescent="0.3">
      <c r="C42" s="1294" t="s">
        <v>1</v>
      </c>
      <c r="D42" s="1296">
        <v>10800</v>
      </c>
      <c r="E42" s="1295">
        <v>3000</v>
      </c>
      <c r="F42" s="1295">
        <v>3500</v>
      </c>
      <c r="G42" s="1295">
        <v>3800</v>
      </c>
    </row>
    <row r="43" spans="3:7" ht="12.6" customHeight="1" thickBot="1" x14ac:dyDescent="0.3">
      <c r="C43" s="1294" t="s">
        <v>2</v>
      </c>
      <c r="D43" s="1296">
        <v>0</v>
      </c>
      <c r="E43" s="1295">
        <v>0</v>
      </c>
      <c r="F43" s="1295"/>
      <c r="G43" s="1295"/>
    </row>
    <row r="44" spans="3:7" ht="12.6" customHeight="1" thickBot="1" x14ac:dyDescent="0.3">
      <c r="C44" s="1294" t="s">
        <v>28</v>
      </c>
      <c r="D44" s="1296"/>
      <c r="E44" s="1296">
        <v>28500</v>
      </c>
      <c r="F44" s="1296">
        <v>52800</v>
      </c>
      <c r="G44" s="1296">
        <v>210060</v>
      </c>
    </row>
    <row r="45" spans="3:7" ht="12.6" customHeight="1" thickBot="1" x14ac:dyDescent="0.3">
      <c r="C45" s="1294" t="s">
        <v>30</v>
      </c>
      <c r="D45" s="1296">
        <v>0</v>
      </c>
      <c r="E45" s="1295"/>
      <c r="F45" s="1295"/>
      <c r="G45" s="1295"/>
    </row>
    <row r="46" spans="3:7" ht="12.6" customHeight="1" thickBot="1" x14ac:dyDescent="0.3">
      <c r="C46" s="1294" t="s">
        <v>3</v>
      </c>
      <c r="D46" s="1297"/>
      <c r="E46" s="1297"/>
      <c r="F46" s="1297"/>
      <c r="G46" s="1297"/>
    </row>
    <row r="47" spans="3:7" ht="12.6" customHeight="1" thickBot="1" x14ac:dyDescent="0.3">
      <c r="C47" s="1298" t="s">
        <v>764</v>
      </c>
      <c r="D47" s="1296">
        <f>SUM(D40:D46)</f>
        <v>28300</v>
      </c>
      <c r="E47" s="1296">
        <f>SUM(E40:E46)</f>
        <v>49000</v>
      </c>
      <c r="F47" s="1296">
        <f>SUM(F40:F46)</f>
        <v>73800</v>
      </c>
      <c r="G47" s="1296">
        <f>SUM(G40:G46)</f>
        <v>231360</v>
      </c>
    </row>
    <row r="48" spans="3:7" ht="12.6" customHeight="1" thickBot="1" x14ac:dyDescent="0.3">
      <c r="C48" s="1299" t="s">
        <v>70</v>
      </c>
      <c r="D48" s="1300">
        <f>D47-D32</f>
        <v>0</v>
      </c>
      <c r="E48" s="1300">
        <f>E47-E32</f>
        <v>0</v>
      </c>
      <c r="F48" s="1300">
        <f>F47-F32</f>
        <v>0</v>
      </c>
      <c r="G48" s="1300">
        <f>G47-G32</f>
        <v>0</v>
      </c>
    </row>
    <row r="49" spans="3:7" s="1279" customFormat="1" ht="36" customHeight="1" thickBot="1" x14ac:dyDescent="0.3">
      <c r="C49" s="1280" t="s">
        <v>22</v>
      </c>
      <c r="D49" s="2829" t="s">
        <v>855</v>
      </c>
      <c r="E49" s="2830"/>
      <c r="F49" s="2830"/>
      <c r="G49" s="2831"/>
    </row>
    <row r="50" spans="3:7" ht="12.6" customHeight="1" thickBot="1" x14ac:dyDescent="0.3">
      <c r="C50" s="2823" t="s">
        <v>495</v>
      </c>
      <c r="D50" s="2824"/>
      <c r="E50" s="2824"/>
      <c r="F50" s="2824"/>
      <c r="G50" s="2825"/>
    </row>
    <row r="51" spans="3:7" ht="12.6" customHeight="1" x14ac:dyDescent="0.25">
      <c r="C51" s="1281"/>
      <c r="D51" s="1301" t="s">
        <v>587</v>
      </c>
      <c r="E51" s="1301" t="s">
        <v>996</v>
      </c>
      <c r="F51" s="1301" t="s">
        <v>997</v>
      </c>
      <c r="G51" s="1301" t="s">
        <v>585</v>
      </c>
    </row>
    <row r="52" spans="3:7" ht="12" customHeight="1" thickBot="1" x14ac:dyDescent="0.3">
      <c r="C52" s="1302" t="s">
        <v>854</v>
      </c>
      <c r="D52" s="1303">
        <v>3000</v>
      </c>
      <c r="E52" s="1303">
        <v>3200</v>
      </c>
      <c r="F52" s="1303">
        <v>3400</v>
      </c>
      <c r="G52" s="1303">
        <v>3600</v>
      </c>
    </row>
    <row r="53" spans="3:7" ht="12.6" customHeight="1" thickBot="1" x14ac:dyDescent="0.3">
      <c r="C53" s="1302" t="s">
        <v>810</v>
      </c>
      <c r="D53" s="1303">
        <v>34208</v>
      </c>
      <c r="E53" s="1303">
        <v>32100</v>
      </c>
      <c r="F53" s="1303">
        <v>31000</v>
      </c>
      <c r="G53" s="1303">
        <v>30000</v>
      </c>
    </row>
    <row r="54" spans="3:7" ht="12.6" customHeight="1" thickBot="1" x14ac:dyDescent="0.3">
      <c r="C54" s="1302" t="s">
        <v>995</v>
      </c>
      <c r="D54" s="1304"/>
      <c r="E54" s="1304"/>
      <c r="F54" s="1304" t="e">
        <f>F61/#REF!</f>
        <v>#REF!</v>
      </c>
      <c r="G54" s="1304" t="e">
        <f>G61/#REF!</f>
        <v>#REF!</v>
      </c>
    </row>
    <row r="55" spans="3:7" ht="12.6" customHeight="1" thickBot="1" x14ac:dyDescent="0.3">
      <c r="C55" s="1302" t="s">
        <v>966</v>
      </c>
      <c r="D55" s="1303">
        <v>3600</v>
      </c>
      <c r="E55" s="1303">
        <v>3700</v>
      </c>
      <c r="F55" s="1303">
        <v>3800</v>
      </c>
      <c r="G55" s="1303">
        <v>3900</v>
      </c>
    </row>
    <row r="56" spans="3:7" ht="12.6" customHeight="1" thickBot="1" x14ac:dyDescent="0.3">
      <c r="C56" s="1302" t="s">
        <v>806</v>
      </c>
      <c r="D56" s="1303">
        <v>4680</v>
      </c>
      <c r="E56" s="1303">
        <v>4810</v>
      </c>
      <c r="F56" s="1303">
        <v>4940</v>
      </c>
      <c r="G56" s="1303">
        <v>5070</v>
      </c>
    </row>
    <row r="57" spans="3:7" ht="12" customHeight="1" thickBot="1" x14ac:dyDescent="0.3">
      <c r="C57" s="1397" t="s">
        <v>1003</v>
      </c>
      <c r="D57" s="1303" t="s">
        <v>1004</v>
      </c>
      <c r="E57" s="1303" t="s">
        <v>1004</v>
      </c>
      <c r="F57" s="1303" t="s">
        <v>1004</v>
      </c>
      <c r="G57" s="1303" t="s">
        <v>1004</v>
      </c>
    </row>
    <row r="58" spans="3:7" ht="12.6" customHeight="1" thickBot="1" x14ac:dyDescent="0.3">
      <c r="C58" s="1397" t="s">
        <v>1005</v>
      </c>
      <c r="D58" s="1303" t="s">
        <v>1004</v>
      </c>
      <c r="E58" s="1303" t="s">
        <v>1004</v>
      </c>
      <c r="F58" s="1303" t="s">
        <v>1004</v>
      </c>
      <c r="G58" s="1303" t="s">
        <v>1004</v>
      </c>
    </row>
    <row r="59" spans="3:7" ht="12.6" customHeight="1" thickBot="1" x14ac:dyDescent="0.3">
      <c r="C59" s="2948" t="s">
        <v>67</v>
      </c>
      <c r="D59" s="2949"/>
      <c r="E59" s="2949"/>
      <c r="F59" s="2949"/>
      <c r="G59" s="2950"/>
    </row>
    <row r="60" spans="3:7" ht="12.6" customHeight="1" thickBot="1" x14ac:dyDescent="0.3">
      <c r="C60" s="2951" t="s">
        <v>121</v>
      </c>
      <c r="D60" s="2952"/>
      <c r="E60" s="2952"/>
      <c r="F60" s="2952"/>
      <c r="G60" s="2953"/>
    </row>
    <row r="61" spans="3:7" ht="25.15" customHeight="1" thickBot="1" x14ac:dyDescent="0.3">
      <c r="C61" s="1305" t="s">
        <v>669</v>
      </c>
      <c r="D61" s="2829" t="s">
        <v>829</v>
      </c>
      <c r="E61" s="2830"/>
      <c r="F61" s="2830"/>
      <c r="G61" s="2831"/>
    </row>
    <row r="62" spans="3:7" ht="20.45" customHeight="1" thickBot="1" x14ac:dyDescent="0.3">
      <c r="C62" s="1282" t="s">
        <v>10</v>
      </c>
      <c r="D62" s="2829" t="s">
        <v>829</v>
      </c>
      <c r="E62" s="2830"/>
      <c r="F62" s="2830"/>
      <c r="G62" s="2831"/>
    </row>
    <row r="63" spans="3:7" ht="12.6" customHeight="1" thickBot="1" x14ac:dyDescent="0.3">
      <c r="C63" s="1282" t="s">
        <v>13</v>
      </c>
      <c r="D63" s="2848" t="s">
        <v>853</v>
      </c>
      <c r="E63" s="2849"/>
      <c r="F63" s="2849"/>
      <c r="G63" s="2850"/>
    </row>
    <row r="64" spans="3:7" ht="12.6" customHeight="1" x14ac:dyDescent="0.25">
      <c r="C64" s="2834"/>
      <c r="D64" s="1283">
        <v>2018</v>
      </c>
      <c r="E64" s="1283">
        <v>2019</v>
      </c>
      <c r="F64" s="1283">
        <v>2020</v>
      </c>
      <c r="G64" s="1283">
        <v>2021</v>
      </c>
    </row>
    <row r="65" spans="3:7" ht="12.6" customHeight="1" thickBot="1" x14ac:dyDescent="0.3">
      <c r="C65" s="2851"/>
      <c r="D65" s="1283" t="s">
        <v>6</v>
      </c>
      <c r="E65" s="1283" t="s">
        <v>7</v>
      </c>
      <c r="F65" s="1283" t="s">
        <v>7</v>
      </c>
      <c r="G65" s="1283" t="s">
        <v>7</v>
      </c>
    </row>
    <row r="66" spans="3:7" ht="12.6" customHeight="1" thickBot="1" x14ac:dyDescent="0.3">
      <c r="C66" s="1306" t="s">
        <v>9</v>
      </c>
      <c r="D66" s="1307">
        <v>20</v>
      </c>
      <c r="E66" s="1308">
        <v>12</v>
      </c>
      <c r="F66" s="1308">
        <v>15</v>
      </c>
      <c r="G66" s="1309">
        <v>20</v>
      </c>
    </row>
    <row r="67" spans="3:7" ht="12.6" customHeight="1" thickBot="1" x14ac:dyDescent="0.3">
      <c r="C67" s="1310" t="s">
        <v>14</v>
      </c>
      <c r="D67" s="1311">
        <v>17200</v>
      </c>
      <c r="E67" s="1312">
        <v>10000</v>
      </c>
      <c r="F67" s="1312">
        <v>15000</v>
      </c>
      <c r="G67" s="1313">
        <v>24000</v>
      </c>
    </row>
    <row r="68" spans="3:7" ht="12.6" customHeight="1" thickBot="1" x14ac:dyDescent="0.3">
      <c r="C68" s="1310" t="s">
        <v>23</v>
      </c>
      <c r="D68" s="1287">
        <f>D67/D66</f>
        <v>860</v>
      </c>
      <c r="E68" s="1287">
        <f>E67/E66</f>
        <v>833.33333333333337</v>
      </c>
      <c r="F68" s="1287">
        <f>F67/F66</f>
        <v>1000</v>
      </c>
      <c r="G68" s="1287">
        <f>G67/G66</f>
        <v>1200</v>
      </c>
    </row>
    <row r="69" spans="3:7" ht="12.6" customHeight="1" thickBot="1" x14ac:dyDescent="0.3">
      <c r="C69" s="1310" t="s">
        <v>15</v>
      </c>
      <c r="D69" s="1288"/>
      <c r="E69" s="1289">
        <f t="shared" ref="E69:G71" si="2">E66/D66-1</f>
        <v>-0.4</v>
      </c>
      <c r="F69" s="1289">
        <f t="shared" si="2"/>
        <v>0.25</v>
      </c>
      <c r="G69" s="1314">
        <f t="shared" si="2"/>
        <v>0.33333333333333326</v>
      </c>
    </row>
    <row r="70" spans="3:7" ht="12.6" customHeight="1" thickBot="1" x14ac:dyDescent="0.3">
      <c r="C70" s="1310" t="s">
        <v>16</v>
      </c>
      <c r="D70" s="1288"/>
      <c r="E70" s="1289">
        <f t="shared" si="2"/>
        <v>-0.41860465116279066</v>
      </c>
      <c r="F70" s="1289">
        <f t="shared" si="2"/>
        <v>0.5</v>
      </c>
      <c r="G70" s="1314">
        <f t="shared" si="2"/>
        <v>0.60000000000000009</v>
      </c>
    </row>
    <row r="71" spans="3:7" ht="12.6" customHeight="1" thickBot="1" x14ac:dyDescent="0.3">
      <c r="C71" s="1315" t="s">
        <v>17</v>
      </c>
      <c r="D71" s="1316"/>
      <c r="E71" s="1317">
        <f t="shared" si="2"/>
        <v>-3.100775193798444E-2</v>
      </c>
      <c r="F71" s="1317">
        <f t="shared" si="2"/>
        <v>0.19999999999999996</v>
      </c>
      <c r="G71" s="1318">
        <f t="shared" si="2"/>
        <v>0.19999999999999996</v>
      </c>
    </row>
    <row r="72" spans="3:7" ht="12.6" customHeight="1" thickBot="1" x14ac:dyDescent="0.3">
      <c r="C72" s="1319" t="s">
        <v>991</v>
      </c>
      <c r="D72" s="1320"/>
      <c r="E72" s="1320"/>
      <c r="F72" s="1320"/>
      <c r="G72" s="1321"/>
    </row>
    <row r="73" spans="3:7" ht="12.6" customHeight="1" x14ac:dyDescent="0.25">
      <c r="C73" s="1293"/>
      <c r="D73" s="1283">
        <v>2018</v>
      </c>
      <c r="E73" s="1283">
        <v>2019</v>
      </c>
      <c r="F73" s="1283">
        <v>2020</v>
      </c>
      <c r="G73" s="1283">
        <v>2021</v>
      </c>
    </row>
    <row r="74" spans="3:7" ht="12.6" customHeight="1" thickBot="1" x14ac:dyDescent="0.3">
      <c r="C74" s="1282"/>
      <c r="D74" s="1284" t="s">
        <v>6</v>
      </c>
      <c r="E74" s="1284" t="s">
        <v>7</v>
      </c>
      <c r="F74" s="1284" t="s">
        <v>7</v>
      </c>
      <c r="G74" s="1284" t="s">
        <v>7</v>
      </c>
    </row>
    <row r="75" spans="3:7" ht="12.6" customHeight="1" thickBot="1" x14ac:dyDescent="0.3">
      <c r="C75" s="1294" t="s">
        <v>0</v>
      </c>
      <c r="D75" s="1295">
        <v>0</v>
      </c>
      <c r="E75" s="1295"/>
      <c r="F75" s="1295"/>
      <c r="G75" s="1295"/>
    </row>
    <row r="76" spans="3:7" ht="12.6" customHeight="1" thickBot="1" x14ac:dyDescent="0.3">
      <c r="C76" s="1294" t="s">
        <v>49</v>
      </c>
      <c r="D76" s="1295">
        <v>0</v>
      </c>
      <c r="E76" s="1295"/>
      <c r="F76" s="1295"/>
      <c r="G76" s="1295"/>
    </row>
    <row r="77" spans="3:7" ht="12.6" customHeight="1" thickBot="1" x14ac:dyDescent="0.3">
      <c r="C77" s="1294" t="s">
        <v>1</v>
      </c>
      <c r="D77" s="1296">
        <v>0</v>
      </c>
      <c r="E77" s="1295"/>
      <c r="F77" s="1295"/>
      <c r="G77" s="1295"/>
    </row>
    <row r="78" spans="3:7" ht="12.6" customHeight="1" thickBot="1" x14ac:dyDescent="0.3">
      <c r="C78" s="1294" t="s">
        <v>2</v>
      </c>
      <c r="D78" s="1296">
        <v>0</v>
      </c>
      <c r="E78" s="1295"/>
      <c r="F78" s="1295"/>
      <c r="G78" s="1295"/>
    </row>
    <row r="79" spans="3:7" ht="12.6" customHeight="1" thickBot="1" x14ac:dyDescent="0.3">
      <c r="C79" s="1294" t="s">
        <v>28</v>
      </c>
      <c r="D79" s="1296">
        <f>D67</f>
        <v>17200</v>
      </c>
      <c r="E79" s="1296">
        <f>E67</f>
        <v>10000</v>
      </c>
      <c r="F79" s="1296">
        <f>F67</f>
        <v>15000</v>
      </c>
      <c r="G79" s="1296">
        <f>G67</f>
        <v>24000</v>
      </c>
    </row>
    <row r="80" spans="3:7" ht="12.6" customHeight="1" thickBot="1" x14ac:dyDescent="0.3">
      <c r="C80" s="1294" t="s">
        <v>30</v>
      </c>
      <c r="D80" s="1296">
        <v>0</v>
      </c>
      <c r="E80" s="1295"/>
      <c r="F80" s="1295"/>
      <c r="G80" s="1295"/>
    </row>
    <row r="81" spans="3:7" ht="12.6" customHeight="1" thickBot="1" x14ac:dyDescent="0.3">
      <c r="C81" s="1294" t="s">
        <v>3</v>
      </c>
      <c r="D81" s="1297"/>
      <c r="E81" s="1297"/>
      <c r="F81" s="1297"/>
      <c r="G81" s="1297"/>
    </row>
    <row r="82" spans="3:7" ht="12.6" customHeight="1" thickBot="1" x14ac:dyDescent="0.3">
      <c r="C82" s="1298" t="s">
        <v>68</v>
      </c>
      <c r="D82" s="1296">
        <f>SUM(D75:D81)</f>
        <v>17200</v>
      </c>
      <c r="E82" s="1296">
        <f>SUM(E75:E81)</f>
        <v>10000</v>
      </c>
      <c r="F82" s="1296">
        <f>SUM(F75:F81)</f>
        <v>15000</v>
      </c>
      <c r="G82" s="1296">
        <f>SUM(G75:G81)</f>
        <v>24000</v>
      </c>
    </row>
    <row r="83" spans="3:7" ht="12.6" customHeight="1" thickBot="1" x14ac:dyDescent="0.3">
      <c r="C83" s="1299" t="s">
        <v>70</v>
      </c>
      <c r="D83" s="1300">
        <f>D82-D67</f>
        <v>0</v>
      </c>
      <c r="E83" s="1300">
        <f>E82-E67</f>
        <v>0</v>
      </c>
      <c r="F83" s="1300">
        <f>F82-F67</f>
        <v>0</v>
      </c>
      <c r="G83" s="1300">
        <f>G82-G67</f>
        <v>0</v>
      </c>
    </row>
    <row r="84" spans="3:7" s="1279" customFormat="1" ht="45.6" customHeight="1" thickBot="1" x14ac:dyDescent="0.3">
      <c r="C84" s="1280" t="s">
        <v>497</v>
      </c>
      <c r="D84" s="2829" t="s">
        <v>1000</v>
      </c>
      <c r="E84" s="2830"/>
      <c r="F84" s="2830"/>
      <c r="G84" s="2831"/>
    </row>
    <row r="85" spans="3:7" ht="12.6" customHeight="1" thickBot="1" x14ac:dyDescent="0.3">
      <c r="C85" s="2823" t="s">
        <v>506</v>
      </c>
      <c r="D85" s="2824"/>
      <c r="E85" s="2824"/>
      <c r="F85" s="2824"/>
      <c r="G85" s="2825"/>
    </row>
    <row r="86" spans="3:7" ht="12.6" customHeight="1" x14ac:dyDescent="0.25">
      <c r="C86" s="1281"/>
      <c r="D86" s="1257" t="s">
        <v>587</v>
      </c>
      <c r="E86" s="1257" t="s">
        <v>996</v>
      </c>
      <c r="F86" s="1257" t="s">
        <v>997</v>
      </c>
      <c r="G86" s="1257" t="s">
        <v>585</v>
      </c>
    </row>
    <row r="87" spans="3:7" ht="12.6" customHeight="1" thickBot="1" x14ac:dyDescent="0.3">
      <c r="C87" s="1302" t="s">
        <v>854</v>
      </c>
      <c r="D87" s="1303">
        <v>3000</v>
      </c>
      <c r="E87" s="1303">
        <v>3200</v>
      </c>
      <c r="F87" s="1303">
        <v>3400</v>
      </c>
      <c r="G87" s="1303">
        <v>3600</v>
      </c>
    </row>
    <row r="88" spans="3:7" ht="12.6" customHeight="1" thickBot="1" x14ac:dyDescent="0.3">
      <c r="C88" s="1302" t="s">
        <v>810</v>
      </c>
      <c r="D88" s="1303">
        <v>34208</v>
      </c>
      <c r="E88" s="1303">
        <v>32100</v>
      </c>
      <c r="F88" s="1303">
        <v>31000</v>
      </c>
      <c r="G88" s="1303">
        <v>30000</v>
      </c>
    </row>
    <row r="89" spans="3:7" ht="12.6" customHeight="1" thickBot="1" x14ac:dyDescent="0.3">
      <c r="C89" s="1413" t="s">
        <v>1023</v>
      </c>
      <c r="D89" s="1418">
        <f>D92/D87</f>
        <v>20.707333333333334</v>
      </c>
      <c r="E89" s="1418">
        <f t="shared" ref="E89:G89" si="3">E92/E87</f>
        <v>209.375</v>
      </c>
      <c r="F89" s="1418">
        <f t="shared" si="3"/>
        <v>235.29411764705881</v>
      </c>
      <c r="G89" s="1418">
        <f t="shared" si="3"/>
        <v>277.77777777777777</v>
      </c>
    </row>
    <row r="90" spans="3:7" ht="12.6" customHeight="1" thickBot="1" x14ac:dyDescent="0.3">
      <c r="C90" s="1302" t="s">
        <v>966</v>
      </c>
      <c r="D90" s="1303">
        <v>3600</v>
      </c>
      <c r="E90" s="1303">
        <v>3700</v>
      </c>
      <c r="F90" s="1303">
        <v>3800</v>
      </c>
      <c r="G90" s="1303">
        <v>3900</v>
      </c>
    </row>
    <row r="91" spans="3:7" ht="12.6" customHeight="1" thickBot="1" x14ac:dyDescent="0.3">
      <c r="C91" s="1302" t="s">
        <v>806</v>
      </c>
      <c r="D91" s="1303">
        <v>4680</v>
      </c>
      <c r="E91" s="1303">
        <v>4810</v>
      </c>
      <c r="F91" s="1303">
        <v>4940</v>
      </c>
      <c r="G91" s="1303">
        <v>5070</v>
      </c>
    </row>
    <row r="92" spans="3:7" ht="12.6" customHeight="1" thickBot="1" x14ac:dyDescent="0.3">
      <c r="C92" s="1282" t="s">
        <v>14</v>
      </c>
      <c r="D92" s="1382">
        <v>62122</v>
      </c>
      <c r="E92" s="1312">
        <f>370000+300000</f>
        <v>670000</v>
      </c>
      <c r="F92" s="1312">
        <f>400000+400000</f>
        <v>800000</v>
      </c>
      <c r="G92" s="1312">
        <f>400000+600000</f>
        <v>1000000</v>
      </c>
    </row>
    <row r="93" spans="3:7" ht="12.6" customHeight="1" thickBot="1" x14ac:dyDescent="0.3">
      <c r="C93" s="1383"/>
      <c r="D93" s="1329"/>
      <c r="E93" s="1329"/>
      <c r="F93" s="1329"/>
      <c r="G93" s="1329"/>
    </row>
    <row r="94" spans="3:7" ht="12.6" customHeight="1" thickBot="1" x14ac:dyDescent="0.3">
      <c r="C94" s="2948" t="s">
        <v>536</v>
      </c>
      <c r="D94" s="2949"/>
      <c r="E94" s="2949"/>
      <c r="F94" s="2949"/>
      <c r="G94" s="2950"/>
    </row>
    <row r="95" spans="3:7" ht="12.6" customHeight="1" thickBot="1" x14ac:dyDescent="0.3">
      <c r="C95" s="2948" t="s">
        <v>788</v>
      </c>
      <c r="D95" s="2949"/>
      <c r="E95" s="2949"/>
      <c r="F95" s="2949"/>
      <c r="G95" s="2950"/>
    </row>
    <row r="96" spans="3:7" ht="15" customHeight="1" thickBot="1" x14ac:dyDescent="0.3">
      <c r="C96" s="1322" t="s">
        <v>659</v>
      </c>
      <c r="D96" s="2829" t="s">
        <v>1018</v>
      </c>
      <c r="E96" s="2830"/>
      <c r="F96" s="2830"/>
      <c r="G96" s="2831"/>
    </row>
    <row r="97" spans="3:10" ht="94.9" customHeight="1" thickBot="1" x14ac:dyDescent="0.3">
      <c r="C97" s="1323" t="s">
        <v>10</v>
      </c>
      <c r="D97" s="2829" t="s">
        <v>1019</v>
      </c>
      <c r="E97" s="2830"/>
      <c r="F97" s="2830"/>
      <c r="G97" s="2831"/>
    </row>
    <row r="98" spans="3:10" ht="12.6" customHeight="1" thickBot="1" x14ac:dyDescent="0.3">
      <c r="C98" s="1282" t="s">
        <v>13</v>
      </c>
      <c r="D98" s="2819" t="s">
        <v>785</v>
      </c>
      <c r="E98" s="2852"/>
      <c r="F98" s="2852"/>
      <c r="G98" s="2853"/>
    </row>
    <row r="99" spans="3:10" ht="12.6" customHeight="1" x14ac:dyDescent="0.25">
      <c r="C99" s="2834"/>
      <c r="D99" s="1262">
        <v>2018</v>
      </c>
      <c r="E99" s="1262">
        <v>2019</v>
      </c>
      <c r="F99" s="1262">
        <v>2020</v>
      </c>
      <c r="G99" s="1262">
        <v>2021</v>
      </c>
    </row>
    <row r="100" spans="3:10" ht="12.6" customHeight="1" thickBot="1" x14ac:dyDescent="0.3">
      <c r="C100" s="2835"/>
      <c r="D100" s="1263" t="s">
        <v>6</v>
      </c>
      <c r="E100" s="1263" t="s">
        <v>7</v>
      </c>
      <c r="F100" s="1263" t="s">
        <v>7</v>
      </c>
      <c r="G100" s="1263" t="s">
        <v>7</v>
      </c>
    </row>
    <row r="101" spans="3:10" ht="12.6" customHeight="1" thickBot="1" x14ac:dyDescent="0.3">
      <c r="C101" s="1282" t="s">
        <v>9</v>
      </c>
      <c r="D101" s="1285">
        <v>10</v>
      </c>
      <c r="E101" s="1324">
        <v>80</v>
      </c>
      <c r="F101" s="1324">
        <v>90</v>
      </c>
      <c r="G101" s="1324">
        <v>100</v>
      </c>
    </row>
    <row r="102" spans="3:10" ht="12.6" customHeight="1" thickBot="1" x14ac:dyDescent="0.3">
      <c r="C102" s="1282" t="s">
        <v>14</v>
      </c>
      <c r="D102" s="1382">
        <v>62122</v>
      </c>
      <c r="E102" s="1312">
        <f>370000+300000</f>
        <v>670000</v>
      </c>
      <c r="F102" s="1312">
        <f>400000+400000</f>
        <v>800000</v>
      </c>
      <c r="G102" s="1312">
        <f>400000+600000</f>
        <v>1000000</v>
      </c>
      <c r="H102" s="1381">
        <v>300000</v>
      </c>
      <c r="I102" s="1381">
        <v>400000</v>
      </c>
      <c r="J102" s="1381">
        <v>600000</v>
      </c>
    </row>
    <row r="103" spans="3:10" ht="12.6" customHeight="1" thickBot="1" x14ac:dyDescent="0.3">
      <c r="C103" s="1282" t="s">
        <v>23</v>
      </c>
      <c r="D103" s="1287">
        <f>D102/D101</f>
        <v>6212.2</v>
      </c>
      <c r="E103" s="1287">
        <f>E102/E101</f>
        <v>8375</v>
      </c>
      <c r="F103" s="1287">
        <f>F102/F101</f>
        <v>8888.8888888888887</v>
      </c>
      <c r="G103" s="1287">
        <f>G102/G101</f>
        <v>10000</v>
      </c>
    </row>
    <row r="104" spans="3:10" ht="12.6" customHeight="1" thickBot="1" x14ac:dyDescent="0.3">
      <c r="C104" s="1282" t="s">
        <v>15</v>
      </c>
      <c r="D104" s="1327"/>
      <c r="E104" s="1327">
        <f t="shared" ref="E104:G106" si="4">E101/D101-1</f>
        <v>7</v>
      </c>
      <c r="F104" s="1327">
        <f t="shared" si="4"/>
        <v>0.125</v>
      </c>
      <c r="G104" s="1327">
        <f t="shared" si="4"/>
        <v>0.11111111111111116</v>
      </c>
    </row>
    <row r="105" spans="3:10" ht="12.6" customHeight="1" thickBot="1" x14ac:dyDescent="0.3">
      <c r="C105" s="1282" t="s">
        <v>16</v>
      </c>
      <c r="D105" s="1327"/>
      <c r="E105" s="1327">
        <f t="shared" si="4"/>
        <v>9.7852290653874636</v>
      </c>
      <c r="F105" s="1327">
        <f t="shared" si="4"/>
        <v>0.19402985074626855</v>
      </c>
      <c r="G105" s="1327">
        <f t="shared" si="4"/>
        <v>0.25</v>
      </c>
    </row>
    <row r="106" spans="3:10" ht="12.6" customHeight="1" thickBot="1" x14ac:dyDescent="0.3">
      <c r="C106" s="1282" t="s">
        <v>17</v>
      </c>
      <c r="D106" s="1327"/>
      <c r="E106" s="1327">
        <f t="shared" si="4"/>
        <v>0.34815363317343295</v>
      </c>
      <c r="F106" s="1327">
        <f t="shared" si="4"/>
        <v>6.1359867330016638E-2</v>
      </c>
      <c r="G106" s="1327">
        <f t="shared" si="4"/>
        <v>0.125</v>
      </c>
    </row>
    <row r="107" spans="3:10" ht="16.149999999999999" customHeight="1" thickBot="1" x14ac:dyDescent="0.3">
      <c r="C107" s="2854" t="s">
        <v>991</v>
      </c>
      <c r="D107" s="2855"/>
      <c r="E107" s="2855"/>
      <c r="F107" s="2855"/>
      <c r="G107" s="2856"/>
    </row>
    <row r="108" spans="3:10" ht="12.6" customHeight="1" x14ac:dyDescent="0.25">
      <c r="C108" s="2834"/>
      <c r="D108" s="1262">
        <v>2018</v>
      </c>
      <c r="E108" s="1262">
        <v>2019</v>
      </c>
      <c r="F108" s="1262">
        <v>2020</v>
      </c>
      <c r="G108" s="1262">
        <v>2021</v>
      </c>
    </row>
    <row r="109" spans="3:10" ht="12.6" customHeight="1" thickBot="1" x14ac:dyDescent="0.3">
      <c r="C109" s="2835"/>
      <c r="D109" s="1263" t="s">
        <v>6</v>
      </c>
      <c r="E109" s="1263" t="s">
        <v>7</v>
      </c>
      <c r="F109" s="1263" t="s">
        <v>7</v>
      </c>
      <c r="G109" s="1263" t="s">
        <v>7</v>
      </c>
    </row>
    <row r="110" spans="3:10" ht="12.6" customHeight="1" thickBot="1" x14ac:dyDescent="0.3">
      <c r="C110" s="1294" t="s">
        <v>104</v>
      </c>
      <c r="D110" s="1295"/>
      <c r="E110" s="1295"/>
      <c r="F110" s="1295"/>
      <c r="G110" s="1295"/>
    </row>
    <row r="111" spans="3:10" ht="12.6" customHeight="1" thickBot="1" x14ac:dyDescent="0.3">
      <c r="C111" s="1294" t="s">
        <v>105</v>
      </c>
      <c r="D111" s="1287">
        <f>D102</f>
        <v>62122</v>
      </c>
      <c r="E111" s="1287">
        <f>E102</f>
        <v>670000</v>
      </c>
      <c r="F111" s="1287">
        <f>F102</f>
        <v>800000</v>
      </c>
      <c r="G111" s="1287">
        <f>G102</f>
        <v>1000000</v>
      </c>
    </row>
    <row r="112" spans="3:10" ht="12.6" customHeight="1" x14ac:dyDescent="0.25">
      <c r="C112" s="1298" t="s">
        <v>68</v>
      </c>
      <c r="D112" s="1287">
        <f>D111+D110</f>
        <v>62122</v>
      </c>
      <c r="E112" s="1287">
        <f>E111+E110</f>
        <v>670000</v>
      </c>
      <c r="F112" s="1287">
        <f>F111+F110</f>
        <v>800000</v>
      </c>
      <c r="G112" s="1287">
        <f>G111+G110</f>
        <v>1000000</v>
      </c>
    </row>
    <row r="113" spans="3:7" ht="12.6" customHeight="1" thickBot="1" x14ac:dyDescent="0.3">
      <c r="C113" s="1299" t="s">
        <v>70</v>
      </c>
      <c r="D113" s="1300">
        <f>D112-D102</f>
        <v>0</v>
      </c>
      <c r="E113" s="1300">
        <f>E112-E102</f>
        <v>0</v>
      </c>
      <c r="F113" s="1300">
        <f>F112-F102</f>
        <v>0</v>
      </c>
      <c r="G113" s="1300">
        <f>G112-G102</f>
        <v>0</v>
      </c>
    </row>
    <row r="114" spans="3:7" s="1279" customFormat="1" ht="42.6" customHeight="1" thickBot="1" x14ac:dyDescent="0.3">
      <c r="C114" s="1280" t="s">
        <v>639</v>
      </c>
      <c r="D114" s="2829" t="s">
        <v>838</v>
      </c>
      <c r="E114" s="2830"/>
      <c r="F114" s="2830"/>
      <c r="G114" s="2831"/>
    </row>
    <row r="115" spans="3:7" ht="12.6" customHeight="1" thickBot="1" x14ac:dyDescent="0.3">
      <c r="C115" s="2823" t="s">
        <v>637</v>
      </c>
      <c r="D115" s="2824"/>
      <c r="E115" s="2824"/>
      <c r="F115" s="2824"/>
      <c r="G115" s="2825"/>
    </row>
    <row r="116" spans="3:7" ht="12.6" customHeight="1" x14ac:dyDescent="0.25">
      <c r="C116" s="1281"/>
      <c r="D116" s="1366">
        <v>2018</v>
      </c>
      <c r="E116" s="1366">
        <v>2019</v>
      </c>
      <c r="F116" s="1366">
        <v>2020</v>
      </c>
      <c r="G116" s="1366">
        <v>2021</v>
      </c>
    </row>
    <row r="117" spans="3:7" ht="12.6" customHeight="1" thickBot="1" x14ac:dyDescent="0.3">
      <c r="C117" s="1302" t="s">
        <v>837</v>
      </c>
      <c r="D117" s="1372">
        <v>35</v>
      </c>
      <c r="E117" s="1373">
        <v>45</v>
      </c>
      <c r="F117" s="1373">
        <v>50</v>
      </c>
      <c r="G117" s="1373">
        <v>55</v>
      </c>
    </row>
    <row r="118" spans="3:7" ht="12.6" customHeight="1" thickBot="1" x14ac:dyDescent="0.3">
      <c r="C118" s="1302" t="s">
        <v>836</v>
      </c>
      <c r="D118" s="1374">
        <v>25</v>
      </c>
      <c r="E118" s="1374">
        <v>28</v>
      </c>
      <c r="F118" s="1374">
        <v>30</v>
      </c>
      <c r="G118" s="1374">
        <v>35</v>
      </c>
    </row>
    <row r="119" spans="3:7" ht="12.6" customHeight="1" thickBot="1" x14ac:dyDescent="0.3">
      <c r="C119" s="1302" t="s">
        <v>835</v>
      </c>
      <c r="D119" s="1374"/>
      <c r="E119" s="1375">
        <f>E118/D118-1</f>
        <v>0.12000000000000011</v>
      </c>
      <c r="F119" s="1375">
        <f t="shared" ref="F119:G119" si="5">F118/E118-1</f>
        <v>7.1428571428571397E-2</v>
      </c>
      <c r="G119" s="1375">
        <f t="shared" si="5"/>
        <v>0.16666666666666674</v>
      </c>
    </row>
    <row r="120" spans="3:7" ht="12.6" customHeight="1" thickBot="1" x14ac:dyDescent="0.3">
      <c r="C120" s="1302" t="s">
        <v>1024</v>
      </c>
      <c r="D120" s="1421">
        <v>3771.4285714285716</v>
      </c>
      <c r="E120" s="1422">
        <v>4444.4444444444443</v>
      </c>
      <c r="F120" s="1422">
        <v>5000</v>
      </c>
      <c r="G120" s="1422">
        <v>5454.545454545455</v>
      </c>
    </row>
    <row r="121" spans="3:7" ht="12.6" customHeight="1" thickBot="1" x14ac:dyDescent="0.3">
      <c r="C121" s="2826" t="s">
        <v>630</v>
      </c>
      <c r="D121" s="2827"/>
      <c r="E121" s="2827"/>
      <c r="F121" s="2827"/>
      <c r="G121" s="2828"/>
    </row>
    <row r="122" spans="3:7" ht="12.6" customHeight="1" thickBot="1" x14ac:dyDescent="0.3">
      <c r="C122" s="2826" t="s">
        <v>121</v>
      </c>
      <c r="D122" s="2827"/>
      <c r="E122" s="2827"/>
      <c r="F122" s="2827"/>
      <c r="G122" s="2828"/>
    </row>
    <row r="123" spans="3:7" ht="24.6" customHeight="1" thickBot="1" x14ac:dyDescent="0.3">
      <c r="C123" s="1305" t="s">
        <v>629</v>
      </c>
      <c r="D123" s="2829" t="s">
        <v>834</v>
      </c>
      <c r="E123" s="2830"/>
      <c r="F123" s="2830"/>
      <c r="G123" s="2831"/>
    </row>
    <row r="124" spans="3:7" ht="27.6" customHeight="1" thickBot="1" x14ac:dyDescent="0.3">
      <c r="C124" s="1282" t="s">
        <v>10</v>
      </c>
      <c r="D124" s="2829" t="s">
        <v>833</v>
      </c>
      <c r="E124" s="2830"/>
      <c r="F124" s="2830"/>
      <c r="G124" s="2831"/>
    </row>
    <row r="125" spans="3:7" ht="12.6" customHeight="1" thickBot="1" x14ac:dyDescent="0.3">
      <c r="C125" s="1282" t="s">
        <v>13</v>
      </c>
      <c r="D125" s="2819" t="s">
        <v>832</v>
      </c>
      <c r="E125" s="2852"/>
      <c r="F125" s="2852"/>
      <c r="G125" s="2853"/>
    </row>
    <row r="126" spans="3:7" ht="12.6" customHeight="1" x14ac:dyDescent="0.25">
      <c r="C126" s="2834"/>
      <c r="D126" s="1258">
        <v>2018</v>
      </c>
      <c r="E126" s="1258">
        <v>2019</v>
      </c>
      <c r="F126" s="1258">
        <v>2020</v>
      </c>
      <c r="G126" s="1258">
        <v>2021</v>
      </c>
    </row>
    <row r="127" spans="3:7" ht="12.6" customHeight="1" thickBot="1" x14ac:dyDescent="0.3">
      <c r="C127" s="2835"/>
      <c r="D127" s="1259" t="s">
        <v>6</v>
      </c>
      <c r="E127" s="1259" t="s">
        <v>7</v>
      </c>
      <c r="F127" s="1259" t="s">
        <v>7</v>
      </c>
      <c r="G127" s="1259" t="s">
        <v>7</v>
      </c>
    </row>
    <row r="128" spans="3:7" ht="12.6" customHeight="1" thickBot="1" x14ac:dyDescent="0.3">
      <c r="C128" s="1282" t="s">
        <v>9</v>
      </c>
      <c r="D128" s="1370">
        <v>35</v>
      </c>
      <c r="E128" s="1371">
        <v>45</v>
      </c>
      <c r="F128" s="1371">
        <v>50</v>
      </c>
      <c r="G128" s="1371">
        <v>55</v>
      </c>
    </row>
    <row r="129" spans="3:10" ht="12.6" customHeight="1" thickBot="1" x14ac:dyDescent="0.3">
      <c r="C129" s="1282" t="s">
        <v>14</v>
      </c>
      <c r="D129" s="1332">
        <v>132000</v>
      </c>
      <c r="E129" s="1333">
        <v>200000</v>
      </c>
      <c r="F129" s="1333">
        <v>250000</v>
      </c>
      <c r="G129" s="1333">
        <v>300000</v>
      </c>
      <c r="H129" s="1369">
        <v>50000</v>
      </c>
      <c r="I129" s="1369">
        <v>100000</v>
      </c>
      <c r="J129" s="1369">
        <v>150000</v>
      </c>
    </row>
    <row r="130" spans="3:10" ht="12.6" customHeight="1" thickBot="1" x14ac:dyDescent="0.3">
      <c r="C130" s="1282" t="s">
        <v>23</v>
      </c>
      <c r="D130" s="1332">
        <f>D129/D128</f>
        <v>3771.4285714285716</v>
      </c>
      <c r="E130" s="1333">
        <f>E129/E128</f>
        <v>4444.4444444444443</v>
      </c>
      <c r="F130" s="1333">
        <f>F129/F128</f>
        <v>5000</v>
      </c>
      <c r="G130" s="1333">
        <f>G129/G128</f>
        <v>5454.545454545455</v>
      </c>
    </row>
    <row r="131" spans="3:10" ht="12.6" customHeight="1" thickBot="1" x14ac:dyDescent="0.3">
      <c r="C131" s="1282" t="s">
        <v>15</v>
      </c>
      <c r="D131" s="1327"/>
      <c r="E131" s="1327">
        <f t="shared" ref="E131:G133" si="6">E128/D128-1</f>
        <v>0.28571428571428581</v>
      </c>
      <c r="F131" s="1327">
        <f t="shared" si="6"/>
        <v>0.11111111111111116</v>
      </c>
      <c r="G131" s="1327">
        <f t="shared" si="6"/>
        <v>0.10000000000000009</v>
      </c>
    </row>
    <row r="132" spans="3:10" ht="12.6" customHeight="1" thickBot="1" x14ac:dyDescent="0.3">
      <c r="C132" s="1282" t="s">
        <v>16</v>
      </c>
      <c r="D132" s="1327"/>
      <c r="E132" s="1327">
        <f t="shared" si="6"/>
        <v>0.51515151515151514</v>
      </c>
      <c r="F132" s="1327">
        <f t="shared" si="6"/>
        <v>0.25</v>
      </c>
      <c r="G132" s="1327">
        <f t="shared" si="6"/>
        <v>0.19999999999999996</v>
      </c>
    </row>
    <row r="133" spans="3:10" ht="12.6" customHeight="1" thickBot="1" x14ac:dyDescent="0.3">
      <c r="C133" s="1282" t="s">
        <v>17</v>
      </c>
      <c r="D133" s="1327"/>
      <c r="E133" s="1327">
        <f t="shared" si="6"/>
        <v>0.17845117845117842</v>
      </c>
      <c r="F133" s="1327">
        <f t="shared" si="6"/>
        <v>0.125</v>
      </c>
      <c r="G133" s="1327">
        <f t="shared" si="6"/>
        <v>9.090909090909105E-2</v>
      </c>
    </row>
    <row r="134" spans="3:10" ht="12.6" customHeight="1" thickBot="1" x14ac:dyDescent="0.3">
      <c r="C134" s="2854" t="s">
        <v>991</v>
      </c>
      <c r="D134" s="2855"/>
      <c r="E134" s="2855"/>
      <c r="F134" s="2855"/>
      <c r="G134" s="2856"/>
    </row>
    <row r="135" spans="3:10" ht="12.6" customHeight="1" x14ac:dyDescent="0.25">
      <c r="C135" s="2834"/>
      <c r="D135" s="1262">
        <v>2018</v>
      </c>
      <c r="E135" s="1262">
        <v>2019</v>
      </c>
      <c r="F135" s="1262">
        <v>2020</v>
      </c>
      <c r="G135" s="1262">
        <v>2021</v>
      </c>
    </row>
    <row r="136" spans="3:10" ht="12.6" customHeight="1" thickBot="1" x14ac:dyDescent="0.3">
      <c r="C136" s="2835"/>
      <c r="D136" s="1263" t="s">
        <v>6</v>
      </c>
      <c r="E136" s="1263" t="s">
        <v>7</v>
      </c>
      <c r="F136" s="1263" t="s">
        <v>7</v>
      </c>
      <c r="G136" s="1263" t="s">
        <v>7</v>
      </c>
    </row>
    <row r="137" spans="3:10" ht="12.6" customHeight="1" thickBot="1" x14ac:dyDescent="0.3">
      <c r="C137" s="1294" t="s">
        <v>0</v>
      </c>
      <c r="D137" s="1295">
        <v>0</v>
      </c>
      <c r="E137" s="1295"/>
      <c r="F137" s="1295"/>
      <c r="G137" s="1295"/>
    </row>
    <row r="138" spans="3:10" ht="12.6" customHeight="1" thickBot="1" x14ac:dyDescent="0.3">
      <c r="C138" s="1294" t="s">
        <v>49</v>
      </c>
      <c r="D138" s="1295">
        <v>0</v>
      </c>
      <c r="E138" s="1295"/>
      <c r="F138" s="1295"/>
      <c r="G138" s="1295"/>
    </row>
    <row r="139" spans="3:10" ht="12.6" customHeight="1" thickBot="1" x14ac:dyDescent="0.3">
      <c r="C139" s="1294" t="s">
        <v>1</v>
      </c>
      <c r="D139" s="1296">
        <v>0</v>
      </c>
      <c r="E139" s="1295"/>
      <c r="F139" s="1295"/>
      <c r="G139" s="1295"/>
    </row>
    <row r="140" spans="3:10" ht="12.6" customHeight="1" thickBot="1" x14ac:dyDescent="0.3">
      <c r="C140" s="1294" t="s">
        <v>2</v>
      </c>
      <c r="D140" s="1296">
        <v>0</v>
      </c>
      <c r="E140" s="1295"/>
      <c r="F140" s="1295"/>
      <c r="G140" s="1295"/>
    </row>
    <row r="141" spans="3:10" ht="12.6" customHeight="1" thickBot="1" x14ac:dyDescent="0.3">
      <c r="C141" s="1294" t="s">
        <v>28</v>
      </c>
      <c r="D141" s="1296">
        <v>0</v>
      </c>
      <c r="E141" s="1295"/>
      <c r="F141" s="1295"/>
      <c r="G141" s="1295"/>
    </row>
    <row r="142" spans="3:10" ht="12.6" customHeight="1" thickBot="1" x14ac:dyDescent="0.3">
      <c r="C142" s="1294" t="s">
        <v>30</v>
      </c>
      <c r="D142" s="1296">
        <v>0</v>
      </c>
      <c r="E142" s="1295"/>
      <c r="F142" s="1295"/>
      <c r="G142" s="1295"/>
    </row>
    <row r="143" spans="3:10" ht="12.6" customHeight="1" thickBot="1" x14ac:dyDescent="0.3">
      <c r="C143" s="1294" t="s">
        <v>3</v>
      </c>
      <c r="D143" s="1297">
        <f>D129</f>
        <v>132000</v>
      </c>
      <c r="E143" s="1297">
        <f t="shared" ref="E143:G143" si="7">E129</f>
        <v>200000</v>
      </c>
      <c r="F143" s="1297">
        <f t="shared" si="7"/>
        <v>250000</v>
      </c>
      <c r="G143" s="1297">
        <f t="shared" si="7"/>
        <v>300000</v>
      </c>
    </row>
    <row r="144" spans="3:10" ht="12.6" customHeight="1" thickBot="1" x14ac:dyDescent="0.3">
      <c r="C144" s="9" t="s">
        <v>62</v>
      </c>
      <c r="D144" s="1297"/>
      <c r="E144" s="1327">
        <v>0.17845117845117842</v>
      </c>
      <c r="F144" s="1327">
        <v>0.125</v>
      </c>
      <c r="G144" s="1327">
        <v>9.090909090909105E-2</v>
      </c>
    </row>
    <row r="145" spans="3:7" ht="12.6" customHeight="1" thickBot="1" x14ac:dyDescent="0.3">
      <c r="C145" s="9" t="s">
        <v>63</v>
      </c>
      <c r="D145" s="1297"/>
      <c r="E145" s="1327">
        <v>0.28571428571428581</v>
      </c>
      <c r="F145" s="1327">
        <v>0.11111111111111116</v>
      </c>
      <c r="G145" s="1327">
        <v>0.10000000000000009</v>
      </c>
    </row>
    <row r="146" spans="3:7" ht="12.6" customHeight="1" thickBot="1" x14ac:dyDescent="0.3">
      <c r="C146" s="1379" t="s">
        <v>68</v>
      </c>
      <c r="D146" s="1380">
        <f>D143+D142+D141+D140+D139+D138+D137</f>
        <v>132000</v>
      </c>
      <c r="E146" s="1380">
        <f>E143+E142+E141+E140+E139+E138+E137</f>
        <v>200000</v>
      </c>
      <c r="F146" s="1380">
        <f>F143+F142+F141+F140+F139+F138+F137</f>
        <v>250000</v>
      </c>
      <c r="G146" s="1380">
        <f>G143+G142+G141+G140+G139+G138+G137</f>
        <v>300000</v>
      </c>
    </row>
    <row r="147" spans="3:7" ht="12.6" customHeight="1" thickBot="1" x14ac:dyDescent="0.3">
      <c r="C147" s="1299" t="s">
        <v>70</v>
      </c>
      <c r="D147" s="1300">
        <f>D146-D129</f>
        <v>0</v>
      </c>
      <c r="E147" s="1300">
        <f>E146-E129</f>
        <v>0</v>
      </c>
      <c r="F147" s="1300">
        <f>F146-F129</f>
        <v>0</v>
      </c>
      <c r="G147" s="1300">
        <f>G146-G129</f>
        <v>0</v>
      </c>
    </row>
    <row r="148" spans="3:7" ht="9.6" customHeight="1" x14ac:dyDescent="0.25">
      <c r="C148" s="2834" t="s">
        <v>102</v>
      </c>
      <c r="D148" s="2867"/>
      <c r="E148" s="2868"/>
      <c r="F148" s="2868"/>
      <c r="G148" s="2869"/>
    </row>
    <row r="149" spans="3:7" ht="9.6" customHeight="1" x14ac:dyDescent="0.25">
      <c r="C149" s="2851"/>
      <c r="D149" s="2870"/>
      <c r="E149" s="2871"/>
      <c r="F149" s="2871"/>
      <c r="G149" s="2872"/>
    </row>
    <row r="150" spans="3:7" ht="9.6" customHeight="1" thickBot="1" x14ac:dyDescent="0.3">
      <c r="C150" s="2835"/>
      <c r="D150" s="2873"/>
      <c r="E150" s="2874"/>
      <c r="F150" s="2874"/>
      <c r="G150" s="2875"/>
    </row>
    <row r="151" spans="3:7" ht="9.6" customHeight="1" thickBot="1" x14ac:dyDescent="0.3">
      <c r="C151" s="1282"/>
      <c r="D151" s="1258">
        <v>2018</v>
      </c>
      <c r="E151" s="1258">
        <v>2019</v>
      </c>
      <c r="F151" s="1258">
        <v>2020</v>
      </c>
      <c r="G151" s="1258">
        <v>2021</v>
      </c>
    </row>
    <row r="152" spans="3:7" ht="12.6" customHeight="1" thickBot="1" x14ac:dyDescent="0.3">
      <c r="C152" s="1338"/>
      <c r="D152" s="1259" t="s">
        <v>6</v>
      </c>
      <c r="E152" s="1259" t="s">
        <v>7</v>
      </c>
      <c r="F152" s="1259" t="s">
        <v>7</v>
      </c>
      <c r="G152" s="1259" t="s">
        <v>7</v>
      </c>
    </row>
    <row r="153" spans="3:7" ht="16.149999999999999" customHeight="1" thickBot="1" x14ac:dyDescent="0.3">
      <c r="C153" s="1376" t="s">
        <v>116</v>
      </c>
      <c r="D153" s="1377">
        <f>D32+D67+D102+D129</f>
        <v>239622</v>
      </c>
      <c r="E153" s="1377">
        <f t="shared" ref="E153:G153" si="8">E32+E67+E102+E129</f>
        <v>929000</v>
      </c>
      <c r="F153" s="1377">
        <f t="shared" si="8"/>
        <v>1138800</v>
      </c>
      <c r="G153" s="1377">
        <f t="shared" si="8"/>
        <v>1555360</v>
      </c>
    </row>
    <row r="154" spans="3:7" ht="25.15" customHeight="1" thickBot="1" x14ac:dyDescent="0.3">
      <c r="C154" s="1376" t="s">
        <v>117</v>
      </c>
      <c r="D154" s="1377">
        <f>D47+D82+D112+D146</f>
        <v>239622</v>
      </c>
      <c r="E154" s="1377">
        <f t="shared" ref="E154:G154" si="9">E47+E82+E112+E146</f>
        <v>929000</v>
      </c>
      <c r="F154" s="1377">
        <f t="shared" si="9"/>
        <v>1138800</v>
      </c>
      <c r="G154" s="1377">
        <f t="shared" si="9"/>
        <v>1555360</v>
      </c>
    </row>
    <row r="155" spans="3:7" ht="12.6" customHeight="1" thickBot="1" x14ac:dyDescent="0.3">
      <c r="C155" s="1302" t="s">
        <v>24</v>
      </c>
      <c r="D155" s="1339"/>
      <c r="E155" s="1340">
        <f>E154/D154-1</f>
        <v>2.876939513066413</v>
      </c>
      <c r="F155" s="1340">
        <f>F154/E154-1</f>
        <v>0.22583423035522077</v>
      </c>
      <c r="G155" s="1340">
        <f>G154/F154-1</f>
        <v>0.36578854935019312</v>
      </c>
    </row>
    <row r="156" spans="3:7" ht="12.6" customHeight="1" thickBot="1" x14ac:dyDescent="0.3">
      <c r="C156" s="1294" t="s">
        <v>0</v>
      </c>
      <c r="D156" s="1295">
        <f>D40</f>
        <v>14850</v>
      </c>
      <c r="E156" s="1295">
        <f>E40</f>
        <v>14850</v>
      </c>
      <c r="F156" s="1295">
        <f>F40</f>
        <v>14850</v>
      </c>
      <c r="G156" s="1295">
        <f>G40</f>
        <v>14850</v>
      </c>
    </row>
    <row r="157" spans="3:7" ht="12.6" customHeight="1" thickBot="1" x14ac:dyDescent="0.3">
      <c r="C157" s="1341" t="s">
        <v>25</v>
      </c>
      <c r="D157" s="1296"/>
      <c r="E157" s="1340">
        <f>E156/D156-1</f>
        <v>0</v>
      </c>
      <c r="F157" s="1340">
        <f>F156/E156-1</f>
        <v>0</v>
      </c>
      <c r="G157" s="1340">
        <f>G156/F156-1</f>
        <v>0</v>
      </c>
    </row>
    <row r="158" spans="3:7" ht="12.6" customHeight="1" thickBot="1" x14ac:dyDescent="0.3">
      <c r="C158" s="1294" t="s">
        <v>49</v>
      </c>
      <c r="D158" s="1295">
        <f>D41</f>
        <v>2650</v>
      </c>
      <c r="E158" s="1295">
        <f>E41</f>
        <v>2650</v>
      </c>
      <c r="F158" s="1295">
        <f>F41</f>
        <v>2650</v>
      </c>
      <c r="G158" s="1295">
        <f>G41</f>
        <v>2650</v>
      </c>
    </row>
    <row r="159" spans="3:7" ht="12.6" customHeight="1" thickBot="1" x14ac:dyDescent="0.3">
      <c r="C159" s="1341" t="s">
        <v>50</v>
      </c>
      <c r="D159" s="1296"/>
      <c r="E159" s="1340">
        <f>E158/D158-1</f>
        <v>0</v>
      </c>
      <c r="F159" s="1340">
        <f>F158/E158-1</f>
        <v>0</v>
      </c>
      <c r="G159" s="1340">
        <f>G158/F158-1</f>
        <v>0</v>
      </c>
    </row>
    <row r="160" spans="3:7" ht="12.6" customHeight="1" thickBot="1" x14ac:dyDescent="0.3">
      <c r="C160" s="1294" t="s">
        <v>1</v>
      </c>
      <c r="D160" s="1295">
        <f>D42+D77+D139</f>
        <v>10800</v>
      </c>
      <c r="E160" s="1295">
        <f t="shared" ref="E160:G160" si="10">E42+E77+E139</f>
        <v>3000</v>
      </c>
      <c r="F160" s="1295">
        <f t="shared" si="10"/>
        <v>3500</v>
      </c>
      <c r="G160" s="1295">
        <f t="shared" si="10"/>
        <v>3800</v>
      </c>
    </row>
    <row r="161" spans="3:7" ht="12.6" customHeight="1" thickBot="1" x14ac:dyDescent="0.3">
      <c r="C161" s="1341" t="s">
        <v>26</v>
      </c>
      <c r="D161" s="1296"/>
      <c r="E161" s="1340">
        <v>0</v>
      </c>
      <c r="F161" s="1340">
        <v>0</v>
      </c>
      <c r="G161" s="1340">
        <v>0</v>
      </c>
    </row>
    <row r="162" spans="3:7" ht="12.6" customHeight="1" thickBot="1" x14ac:dyDescent="0.3">
      <c r="C162" s="1294" t="s">
        <v>2</v>
      </c>
      <c r="D162" s="1295">
        <v>0</v>
      </c>
      <c r="E162" s="1295">
        <v>0</v>
      </c>
      <c r="F162" s="1295">
        <v>0</v>
      </c>
      <c r="G162" s="1295">
        <v>0</v>
      </c>
    </row>
    <row r="163" spans="3:7" ht="12.6" customHeight="1" thickBot="1" x14ac:dyDescent="0.3">
      <c r="C163" s="1341" t="s">
        <v>27</v>
      </c>
      <c r="D163" s="1296"/>
      <c r="E163" s="1340"/>
      <c r="F163" s="1340"/>
      <c r="G163" s="1340"/>
    </row>
    <row r="164" spans="3:7" ht="12.6" customHeight="1" thickBot="1" x14ac:dyDescent="0.3">
      <c r="C164" s="1343" t="s">
        <v>28</v>
      </c>
      <c r="D164" s="1297">
        <f>D44+D79+D141</f>
        <v>17200</v>
      </c>
      <c r="E164" s="1297">
        <f t="shared" ref="E164:G164" si="11">E44+E79+E141</f>
        <v>38500</v>
      </c>
      <c r="F164" s="1297">
        <f t="shared" si="11"/>
        <v>67800</v>
      </c>
      <c r="G164" s="1297">
        <f t="shared" si="11"/>
        <v>234060</v>
      </c>
    </row>
    <row r="165" spans="3:7" ht="12.6" customHeight="1" thickBot="1" x14ac:dyDescent="0.3">
      <c r="C165" s="1341" t="s">
        <v>29</v>
      </c>
      <c r="D165" s="1296"/>
      <c r="E165" s="1340">
        <f>E164/D164-1</f>
        <v>1.2383720930232558</v>
      </c>
      <c r="F165" s="1340">
        <f>F164/E164-1</f>
        <v>0.76103896103896096</v>
      </c>
      <c r="G165" s="1340">
        <f>G164/F164-1</f>
        <v>2.4522123893805308</v>
      </c>
    </row>
    <row r="166" spans="3:7" ht="12.6" customHeight="1" thickBot="1" x14ac:dyDescent="0.3">
      <c r="C166" s="1294" t="s">
        <v>30</v>
      </c>
      <c r="D166" s="1342">
        <f>D80+D142</f>
        <v>0</v>
      </c>
      <c r="E166" s="1342">
        <f t="shared" ref="E166:G166" si="12">E80+E142</f>
        <v>0</v>
      </c>
      <c r="F166" s="1342">
        <f t="shared" si="12"/>
        <v>0</v>
      </c>
      <c r="G166" s="1342">
        <f t="shared" si="12"/>
        <v>0</v>
      </c>
    </row>
    <row r="167" spans="3:7" ht="12.6" customHeight="1" thickBot="1" x14ac:dyDescent="0.3">
      <c r="C167" s="1341" t="s">
        <v>31</v>
      </c>
      <c r="D167" s="1296"/>
      <c r="E167" s="1340" t="e">
        <f>E166/D166-1</f>
        <v>#DIV/0!</v>
      </c>
      <c r="F167" s="1340" t="e">
        <f>F166/E166-1</f>
        <v>#DIV/0!</v>
      </c>
      <c r="G167" s="1340" t="e">
        <f>G166/F166-1</f>
        <v>#DIV/0!</v>
      </c>
    </row>
    <row r="168" spans="3:7" ht="12.6" customHeight="1" thickBot="1" x14ac:dyDescent="0.3">
      <c r="C168" s="1294" t="s">
        <v>3</v>
      </c>
      <c r="D168" s="1342">
        <f>D81+D143</f>
        <v>132000</v>
      </c>
      <c r="E168" s="1342">
        <f t="shared" ref="E168:G168" si="13">E81+E143</f>
        <v>200000</v>
      </c>
      <c r="F168" s="1342">
        <f t="shared" si="13"/>
        <v>250000</v>
      </c>
      <c r="G168" s="1342">
        <f t="shared" si="13"/>
        <v>300000</v>
      </c>
    </row>
    <row r="169" spans="3:7" ht="12.6" customHeight="1" thickBot="1" x14ac:dyDescent="0.3">
      <c r="C169" s="1341" t="s">
        <v>32</v>
      </c>
      <c r="D169" s="1296"/>
      <c r="E169" s="1340">
        <f>E168/D168-1</f>
        <v>0.51515151515151514</v>
      </c>
      <c r="F169" s="1340">
        <f>F168/E168-1</f>
        <v>0.25</v>
      </c>
      <c r="G169" s="1340">
        <f>G168/F168-1</f>
        <v>0.19999999999999996</v>
      </c>
    </row>
    <row r="170" spans="3:7" ht="12.6" customHeight="1" thickBot="1" x14ac:dyDescent="0.3">
      <c r="C170" s="1294" t="s">
        <v>18</v>
      </c>
      <c r="D170" s="1295"/>
      <c r="E170" s="1295"/>
      <c r="F170" s="1295"/>
      <c r="G170" s="1295"/>
    </row>
    <row r="171" spans="3:7" ht="12.6" customHeight="1" thickBot="1" x14ac:dyDescent="0.3">
      <c r="C171" s="1341" t="s">
        <v>33</v>
      </c>
      <c r="D171" s="1296"/>
      <c r="E171" s="1340"/>
      <c r="F171" s="1340"/>
      <c r="G171" s="1340"/>
    </row>
    <row r="172" spans="3:7" ht="12.6" customHeight="1" thickBot="1" x14ac:dyDescent="0.3">
      <c r="C172" s="1294" t="s">
        <v>19</v>
      </c>
      <c r="D172" s="1295">
        <f>D112</f>
        <v>62122</v>
      </c>
      <c r="E172" s="1295">
        <f t="shared" ref="E172:G172" si="14">E112</f>
        <v>670000</v>
      </c>
      <c r="F172" s="1295">
        <f t="shared" si="14"/>
        <v>800000</v>
      </c>
      <c r="G172" s="1295">
        <f t="shared" si="14"/>
        <v>1000000</v>
      </c>
    </row>
    <row r="173" spans="3:7" ht="12.6" customHeight="1" thickBot="1" x14ac:dyDescent="0.3">
      <c r="C173" s="1341" t="s">
        <v>34</v>
      </c>
      <c r="D173" s="1296"/>
      <c r="E173" s="1340">
        <f>E172/D172-1</f>
        <v>9.7852290653874636</v>
      </c>
      <c r="F173" s="1340">
        <f>F172/E172-1</f>
        <v>0.19402985074626855</v>
      </c>
      <c r="G173" s="1340">
        <f>G172/F172-1</f>
        <v>0.25</v>
      </c>
    </row>
    <row r="174" spans="3:7" ht="12.6" customHeight="1" thickBot="1" x14ac:dyDescent="0.3">
      <c r="C174" s="1344" t="s">
        <v>70</v>
      </c>
      <c r="D174" s="1423">
        <f>D156+D158+D160+D162+D164+D166+D168+D170+D172</f>
        <v>239622</v>
      </c>
      <c r="E174" s="1423">
        <f>E156+E158+E160+E162+E164+E166+E168+E170+E172</f>
        <v>929000</v>
      </c>
      <c r="F174" s="1423">
        <f>F156+F158+F160+F162+F164+F166+F168+F170+F172</f>
        <v>1138800</v>
      </c>
      <c r="G174" s="1423">
        <f>G156+G158+G160+G162+G164+G166+G168+G170+G172</f>
        <v>1555360</v>
      </c>
    </row>
    <row r="175" spans="3:7" ht="10.9" customHeight="1" thickBot="1" x14ac:dyDescent="0.3">
      <c r="C175" s="1328" t="s">
        <v>55</v>
      </c>
      <c r="D175" s="1342">
        <v>18</v>
      </c>
      <c r="E175" s="1342">
        <v>18</v>
      </c>
      <c r="F175" s="1342">
        <v>18</v>
      </c>
      <c r="G175" s="1342">
        <v>18</v>
      </c>
    </row>
    <row r="176" spans="3:7" ht="12.6" customHeight="1" thickBot="1" x14ac:dyDescent="0.3">
      <c r="C176" s="1294" t="s">
        <v>64</v>
      </c>
      <c r="D176" s="1295">
        <v>0</v>
      </c>
      <c r="E176" s="1295">
        <v>0</v>
      </c>
      <c r="F176" s="1295">
        <v>0</v>
      </c>
      <c r="G176" s="1295">
        <v>0</v>
      </c>
    </row>
    <row r="177" spans="1:7" ht="12.6" customHeight="1" thickBot="1" x14ac:dyDescent="0.3">
      <c r="C177" s="1345"/>
      <c r="D177" s="1346">
        <f>'09770 KSH _F 2 Pol Aktua 19-21'!D255-'Formati 2.1 Fonde per Shkencen'!D235</f>
        <v>480422</v>
      </c>
      <c r="E177" s="1346">
        <f>'09770 KSH _F 2 Pol Aktua 19-21'!E255-'Formati 2.1 Fonde per Shkencen'!E235</f>
        <v>1170000</v>
      </c>
      <c r="F177" s="1346">
        <f>'09770 KSH _F 2 Pol Aktua 19-21'!F255-'Formati 2.1 Fonde per Shkencen'!F235</f>
        <v>1380000</v>
      </c>
      <c r="G177" s="1346">
        <f>'09770 KSH _F 2 Pol Aktua 19-21'!G255-'Formati 2.1 Fonde per Shkencen'!G235</f>
        <v>1670960</v>
      </c>
    </row>
    <row r="178" spans="1:7" ht="12.6" customHeight="1" x14ac:dyDescent="0.25">
      <c r="A178" s="2876" t="s">
        <v>122</v>
      </c>
      <c r="B178" s="1347" t="s">
        <v>80</v>
      </c>
      <c r="C178" s="1348"/>
      <c r="D178" s="2876" t="s">
        <v>83</v>
      </c>
      <c r="E178" s="1347" t="s">
        <v>80</v>
      </c>
      <c r="F178" s="1348"/>
      <c r="G178" s="2876" t="s">
        <v>118</v>
      </c>
    </row>
    <row r="179" spans="1:7" ht="12.6" customHeight="1" x14ac:dyDescent="0.25">
      <c r="A179" s="2877"/>
      <c r="B179" s="1349" t="s">
        <v>81</v>
      </c>
      <c r="C179" s="1350"/>
      <c r="D179" s="2877"/>
      <c r="E179" s="1349" t="s">
        <v>81</v>
      </c>
      <c r="F179" s="1350"/>
      <c r="G179" s="2877"/>
    </row>
    <row r="180" spans="1:7" ht="12.6" customHeight="1" thickBot="1" x14ac:dyDescent="0.3">
      <c r="A180" s="2878"/>
      <c r="B180" s="1351" t="s">
        <v>82</v>
      </c>
      <c r="C180" s="1352"/>
      <c r="D180" s="2878"/>
      <c r="E180" s="1351" t="s">
        <v>82</v>
      </c>
      <c r="F180" s="1352"/>
      <c r="G180" s="2878"/>
    </row>
    <row r="181" spans="1:7" ht="12.6" customHeight="1" thickBot="1" x14ac:dyDescent="0.3">
      <c r="A181" s="1353"/>
      <c r="B181" s="621"/>
      <c r="C181" s="621"/>
      <c r="E181" s="1353"/>
      <c r="F181" s="621"/>
      <c r="G181" s="621"/>
    </row>
    <row r="182" spans="1:7" ht="12.6" customHeight="1" thickBot="1" x14ac:dyDescent="0.3">
      <c r="A182" s="1353"/>
      <c r="B182" s="621"/>
      <c r="C182" s="1354" t="s">
        <v>86</v>
      </c>
      <c r="E182" s="1353"/>
      <c r="F182" s="621"/>
      <c r="G182" s="621"/>
    </row>
    <row r="183" spans="1:7" ht="12.6" customHeight="1" x14ac:dyDescent="0.25">
      <c r="A183" s="1353"/>
      <c r="B183" s="621"/>
      <c r="C183" s="2885" t="s">
        <v>123</v>
      </c>
      <c r="D183" s="2886"/>
      <c r="E183" s="2886"/>
      <c r="F183" s="2886"/>
      <c r="G183" s="2887"/>
    </row>
    <row r="184" spans="1:7" ht="12.6" customHeight="1" x14ac:dyDescent="0.25">
      <c r="A184" s="1353"/>
      <c r="B184" s="621"/>
      <c r="C184" s="2888" t="s">
        <v>124</v>
      </c>
      <c r="D184" s="2889"/>
      <c r="E184" s="2889"/>
      <c r="F184" s="2889"/>
      <c r="G184" s="2890"/>
    </row>
    <row r="185" spans="1:7" ht="12.6" customHeight="1" x14ac:dyDescent="0.25">
      <c r="C185" s="2891" t="s">
        <v>125</v>
      </c>
      <c r="D185" s="2892"/>
      <c r="E185" s="2892"/>
      <c r="F185" s="2892"/>
      <c r="G185" s="2893"/>
    </row>
    <row r="186" spans="1:7" ht="12.6" customHeight="1" x14ac:dyDescent="0.25">
      <c r="C186" s="2891" t="s">
        <v>126</v>
      </c>
      <c r="D186" s="2892"/>
      <c r="E186" s="2892"/>
      <c r="F186" s="2892"/>
      <c r="G186" s="2893"/>
    </row>
    <row r="187" spans="1:7" ht="12.6" customHeight="1" x14ac:dyDescent="0.25">
      <c r="C187" s="2891" t="s">
        <v>115</v>
      </c>
      <c r="D187" s="2892"/>
      <c r="E187" s="2892"/>
      <c r="F187" s="2892"/>
      <c r="G187" s="2893"/>
    </row>
    <row r="188" spans="1:7" ht="12.6" customHeight="1" x14ac:dyDescent="0.25">
      <c r="C188" s="2894" t="s">
        <v>993</v>
      </c>
      <c r="D188" s="2892"/>
      <c r="E188" s="2892"/>
      <c r="F188" s="2892"/>
      <c r="G188" s="2893"/>
    </row>
    <row r="189" spans="1:7" ht="12.6" customHeight="1" thickBot="1" x14ac:dyDescent="0.3">
      <c r="C189" s="2879" t="s">
        <v>79</v>
      </c>
      <c r="D189" s="2880"/>
      <c r="E189" s="2880"/>
      <c r="F189" s="2880"/>
      <c r="G189" s="2881"/>
    </row>
    <row r="191" spans="1:7" ht="12.6" customHeight="1" x14ac:dyDescent="0.25">
      <c r="C191" s="1285" t="s">
        <v>96</v>
      </c>
      <c r="D191" s="2882" t="s">
        <v>483</v>
      </c>
      <c r="E191" s="2883"/>
      <c r="F191" s="2883"/>
      <c r="G191" s="2884"/>
    </row>
    <row r="192" spans="1:7" ht="12.6" customHeight="1" x14ac:dyDescent="0.25">
      <c r="C192" s="1355"/>
      <c r="D192" s="1355"/>
      <c r="E192" s="1355"/>
      <c r="F192" s="1355"/>
      <c r="G192" s="1355"/>
    </row>
    <row r="193" spans="3:7" ht="12.6" customHeight="1" x14ac:dyDescent="0.25">
      <c r="C193" s="1356"/>
      <c r="D193" s="1285" t="s">
        <v>6</v>
      </c>
      <c r="E193" s="2882" t="s">
        <v>97</v>
      </c>
      <c r="F193" s="2883"/>
      <c r="G193" s="2884"/>
    </row>
    <row r="194" spans="3:7" ht="12.6" customHeight="1" x14ac:dyDescent="0.25">
      <c r="C194" s="1285" t="s">
        <v>89</v>
      </c>
      <c r="D194" s="1357">
        <v>2018</v>
      </c>
      <c r="E194" s="1358">
        <v>2019</v>
      </c>
      <c r="F194" s="1358">
        <v>2020</v>
      </c>
      <c r="G194" s="1358">
        <v>2021</v>
      </c>
    </row>
    <row r="195" spans="3:7" ht="12.6" customHeight="1" x14ac:dyDescent="0.25">
      <c r="C195" s="1285" t="s">
        <v>90</v>
      </c>
      <c r="D195" s="1359">
        <f>20160-2660</f>
        <v>17500</v>
      </c>
      <c r="E195" s="1359">
        <v>20160</v>
      </c>
      <c r="F195" s="1359">
        <v>20160</v>
      </c>
      <c r="G195" s="1359">
        <v>20160</v>
      </c>
    </row>
    <row r="196" spans="3:7" ht="12.6" customHeight="1" x14ac:dyDescent="0.25">
      <c r="C196" s="1285" t="s">
        <v>91</v>
      </c>
      <c r="D196" s="1359">
        <f>378344-77544</f>
        <v>300800</v>
      </c>
      <c r="E196" s="1359">
        <f>400800-70960</f>
        <v>329840</v>
      </c>
      <c r="F196" s="1360">
        <f>400800-40960</f>
        <v>359840</v>
      </c>
      <c r="G196" s="1360">
        <f>400800</f>
        <v>400800</v>
      </c>
    </row>
    <row r="197" spans="3:7" ht="12.6" customHeight="1" x14ac:dyDescent="0.25">
      <c r="C197" s="1285" t="s">
        <v>92</v>
      </c>
      <c r="D197" s="1361">
        <v>62122</v>
      </c>
      <c r="E197" s="1362">
        <v>370000</v>
      </c>
      <c r="F197" s="1363">
        <v>400000</v>
      </c>
      <c r="G197" s="1363">
        <v>400000</v>
      </c>
    </row>
    <row r="198" spans="3:7" ht="12.6" customHeight="1" x14ac:dyDescent="0.25">
      <c r="C198" s="1285" t="s">
        <v>93</v>
      </c>
      <c r="D198" s="1359">
        <v>100000</v>
      </c>
      <c r="E198" s="1359">
        <v>100000</v>
      </c>
      <c r="F198" s="1360">
        <v>100000</v>
      </c>
      <c r="G198" s="1360">
        <v>100000</v>
      </c>
    </row>
    <row r="199" spans="3:7" ht="12.6" customHeight="1" x14ac:dyDescent="0.25">
      <c r="C199" s="1285" t="s">
        <v>94</v>
      </c>
      <c r="D199" s="1364"/>
      <c r="E199" s="1364"/>
      <c r="F199" s="1364"/>
      <c r="G199" s="1364"/>
    </row>
    <row r="200" spans="3:7" ht="12.6" customHeight="1" x14ac:dyDescent="0.25">
      <c r="C200" s="1285" t="s">
        <v>95</v>
      </c>
      <c r="D200" s="1365">
        <f>SUM(D195:D199)</f>
        <v>480422</v>
      </c>
      <c r="E200" s="1365">
        <f>SUM(E195:E199)</f>
        <v>820000</v>
      </c>
      <c r="F200" s="1365">
        <f>SUM(F195:F199)</f>
        <v>880000</v>
      </c>
      <c r="G200" s="1365">
        <f>SUM(G195:G199)</f>
        <v>920960</v>
      </c>
    </row>
    <row r="201" spans="3:7" ht="12.6" customHeight="1" x14ac:dyDescent="0.25">
      <c r="C201" s="1378" t="s">
        <v>998</v>
      </c>
    </row>
  </sheetData>
  <mergeCells count="52">
    <mergeCell ref="C189:G189"/>
    <mergeCell ref="D191:G191"/>
    <mergeCell ref="E193:G193"/>
    <mergeCell ref="C183:G183"/>
    <mergeCell ref="C184:G184"/>
    <mergeCell ref="C185:G185"/>
    <mergeCell ref="C186:G186"/>
    <mergeCell ref="C187:G187"/>
    <mergeCell ref="C188:G188"/>
    <mergeCell ref="C148:C150"/>
    <mergeCell ref="D148:G150"/>
    <mergeCell ref="A178:A180"/>
    <mergeCell ref="D178:D180"/>
    <mergeCell ref="G178:G180"/>
    <mergeCell ref="D125:G125"/>
    <mergeCell ref="C126:C127"/>
    <mergeCell ref="C134:G134"/>
    <mergeCell ref="C135:C136"/>
    <mergeCell ref="D114:G114"/>
    <mergeCell ref="C115:G115"/>
    <mergeCell ref="C121:G121"/>
    <mergeCell ref="C122:G122"/>
    <mergeCell ref="D123:G123"/>
    <mergeCell ref="D124:G124"/>
    <mergeCell ref="C107:G107"/>
    <mergeCell ref="C108:C109"/>
    <mergeCell ref="C94:G94"/>
    <mergeCell ref="C95:G95"/>
    <mergeCell ref="D96:G96"/>
    <mergeCell ref="D97:G97"/>
    <mergeCell ref="D98:G98"/>
    <mergeCell ref="C99:C100"/>
    <mergeCell ref="C85:G85"/>
    <mergeCell ref="D28:G28"/>
    <mergeCell ref="C29:C30"/>
    <mergeCell ref="D49:G49"/>
    <mergeCell ref="C50:G50"/>
    <mergeCell ref="C59:G59"/>
    <mergeCell ref="C60:G60"/>
    <mergeCell ref="D61:G61"/>
    <mergeCell ref="D62:G62"/>
    <mergeCell ref="D63:G63"/>
    <mergeCell ref="C64:C65"/>
    <mergeCell ref="D84:G84"/>
    <mergeCell ref="C9:C10"/>
    <mergeCell ref="D27:G27"/>
    <mergeCell ref="C2:G2"/>
    <mergeCell ref="C3:G3"/>
    <mergeCell ref="D5:G5"/>
    <mergeCell ref="D6:G6"/>
    <mergeCell ref="D7:G7"/>
    <mergeCell ref="C8:G8"/>
  </mergeCells>
  <printOptions horizontalCentered="1" verticalCentered="1"/>
  <pageMargins left="7.874015748031496E-2" right="7.874015748031496E-2" top="0.43307086614173229" bottom="0.43307086614173229" header="0.31496062992125984" footer="0.31496062992125984"/>
  <pageSetup scale="71" orientation="portrait" r:id="rId1"/>
  <colBreaks count="1" manualBreakCount="1">
    <brk id="7"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9"/>
  <sheetViews>
    <sheetView topLeftCell="A361" workbookViewId="0">
      <selection activeCell="C362" sqref="C362"/>
    </sheetView>
  </sheetViews>
  <sheetFormatPr defaultRowHeight="15" x14ac:dyDescent="0.25"/>
  <cols>
    <col min="1" max="1" width="50.140625" style="1082" customWidth="1"/>
    <col min="2" max="2" width="15" style="1132" customWidth="1"/>
    <col min="3" max="3" width="19.7109375" style="1132" customWidth="1"/>
    <col min="4" max="4" width="24.7109375" style="1132" customWidth="1"/>
    <col min="5" max="5" width="21.85546875" style="1132" customWidth="1"/>
  </cols>
  <sheetData>
    <row r="1" spans="1:5" x14ac:dyDescent="0.25">
      <c r="A1" s="2964" t="s">
        <v>135</v>
      </c>
      <c r="B1" s="2965"/>
      <c r="C1" s="2965"/>
      <c r="D1" s="2965"/>
      <c r="E1" s="2965"/>
    </row>
    <row r="2" spans="1:5" x14ac:dyDescent="0.25">
      <c r="A2" s="2966" t="s">
        <v>128</v>
      </c>
      <c r="B2" s="2966"/>
      <c r="C2" s="2966"/>
      <c r="D2" s="2966"/>
      <c r="E2" s="2966"/>
    </row>
    <row r="3" spans="1:5" x14ac:dyDescent="0.25">
      <c r="A3" s="2967" t="s">
        <v>127</v>
      </c>
      <c r="B3" s="2967"/>
      <c r="C3" s="2967"/>
      <c r="D3" s="2967"/>
      <c r="E3" s="2967"/>
    </row>
    <row r="5" spans="1:5" x14ac:dyDescent="0.25">
      <c r="A5" s="1052" t="s">
        <v>96</v>
      </c>
      <c r="B5" s="2968" t="s">
        <v>872</v>
      </c>
      <c r="C5" s="2969"/>
      <c r="D5" s="2969"/>
      <c r="E5" s="2969"/>
    </row>
    <row r="6" spans="1:5" x14ac:dyDescent="0.25">
      <c r="A6" s="1053" t="s">
        <v>4</v>
      </c>
      <c r="B6" s="2970" t="s">
        <v>143</v>
      </c>
      <c r="C6" s="2971"/>
      <c r="D6" s="2971"/>
      <c r="E6" s="2971"/>
    </row>
    <row r="7" spans="1:5" x14ac:dyDescent="0.25">
      <c r="A7" s="1054" t="s">
        <v>136</v>
      </c>
      <c r="B7" s="2972" t="s">
        <v>5</v>
      </c>
      <c r="C7" s="2973"/>
      <c r="D7" s="2973"/>
      <c r="E7" s="2973"/>
    </row>
    <row r="8" spans="1:5" x14ac:dyDescent="0.25">
      <c r="A8" s="2954" t="s">
        <v>582</v>
      </c>
      <c r="B8" s="2955"/>
      <c r="C8" s="2955"/>
      <c r="D8" s="2955"/>
      <c r="E8" s="2955"/>
    </row>
    <row r="9" spans="1:5" x14ac:dyDescent="0.25">
      <c r="A9" s="2956" t="s">
        <v>874</v>
      </c>
      <c r="B9" s="2957"/>
      <c r="C9" s="2957"/>
      <c r="D9" s="2957"/>
      <c r="E9" s="2957"/>
    </row>
    <row r="10" spans="1:5" x14ac:dyDescent="0.25">
      <c r="A10" s="2958"/>
      <c r="B10" s="2959"/>
      <c r="C10" s="2959"/>
      <c r="D10" s="2959"/>
      <c r="E10" s="2959"/>
    </row>
    <row r="11" spans="1:5" x14ac:dyDescent="0.25">
      <c r="A11" s="2958"/>
      <c r="B11" s="2959"/>
      <c r="C11" s="2959"/>
      <c r="D11" s="2959"/>
      <c r="E11" s="2959"/>
    </row>
    <row r="12" spans="1:5" x14ac:dyDescent="0.25">
      <c r="A12" s="2958"/>
      <c r="B12" s="2959"/>
      <c r="C12" s="2959"/>
      <c r="D12" s="2959"/>
      <c r="E12" s="2959"/>
    </row>
    <row r="13" spans="1:5" x14ac:dyDescent="0.25">
      <c r="A13" s="2960"/>
      <c r="B13" s="2961"/>
      <c r="C13" s="2961"/>
      <c r="D13" s="2961"/>
      <c r="E13" s="2961"/>
    </row>
    <row r="14" spans="1:5" x14ac:dyDescent="0.25">
      <c r="A14" s="2954" t="s">
        <v>875</v>
      </c>
      <c r="B14" s="2955"/>
      <c r="C14" s="2955"/>
      <c r="D14" s="2955"/>
      <c r="E14" s="2955"/>
    </row>
    <row r="15" spans="1:5" x14ac:dyDescent="0.25">
      <c r="A15" s="2956" t="s">
        <v>876</v>
      </c>
      <c r="B15" s="2957"/>
      <c r="C15" s="2957"/>
      <c r="D15" s="2957"/>
      <c r="E15" s="2957"/>
    </row>
    <row r="16" spans="1:5" x14ac:dyDescent="0.25">
      <c r="A16" s="2958"/>
      <c r="B16" s="2959"/>
      <c r="C16" s="2959"/>
      <c r="D16" s="2959"/>
      <c r="E16" s="2959"/>
    </row>
    <row r="17" spans="1:5" x14ac:dyDescent="0.25">
      <c r="A17" s="2958"/>
      <c r="B17" s="2959"/>
      <c r="C17" s="2959"/>
      <c r="D17" s="2959"/>
      <c r="E17" s="2959"/>
    </row>
    <row r="18" spans="1:5" x14ac:dyDescent="0.25">
      <c r="A18" s="2958"/>
      <c r="B18" s="2959"/>
      <c r="C18" s="2959"/>
      <c r="D18" s="2959"/>
      <c r="E18" s="2959"/>
    </row>
    <row r="19" spans="1:5" x14ac:dyDescent="0.25">
      <c r="A19" s="2958"/>
      <c r="B19" s="2959"/>
      <c r="C19" s="2959"/>
      <c r="D19" s="2959"/>
      <c r="E19" s="2959"/>
    </row>
    <row r="20" spans="1:5" ht="15.75" thickBot="1" x14ac:dyDescent="0.3">
      <c r="A20" s="2960"/>
      <c r="B20" s="2961"/>
      <c r="C20" s="2961"/>
      <c r="D20" s="2961"/>
      <c r="E20" s="2961"/>
    </row>
    <row r="21" spans="1:5" x14ac:dyDescent="0.25">
      <c r="A21" s="2962" t="s">
        <v>119</v>
      </c>
      <c r="B21" s="921">
        <v>2018</v>
      </c>
      <c r="C21" s="921">
        <v>2019</v>
      </c>
      <c r="D21" s="921">
        <v>2020</v>
      </c>
      <c r="E21" s="921">
        <v>2021</v>
      </c>
    </row>
    <row r="22" spans="1:5" ht="15.75" thickBot="1" x14ac:dyDescent="0.3">
      <c r="A22" s="2963"/>
      <c r="B22" s="920" t="s">
        <v>6</v>
      </c>
      <c r="C22" s="920" t="s">
        <v>7</v>
      </c>
      <c r="D22" s="920" t="s">
        <v>7</v>
      </c>
      <c r="E22" s="920" t="s">
        <v>7</v>
      </c>
    </row>
    <row r="23" spans="1:5" ht="15.75" thickBot="1" x14ac:dyDescent="0.3">
      <c r="A23" s="1055" t="s">
        <v>877</v>
      </c>
      <c r="B23" s="1056">
        <v>25</v>
      </c>
      <c r="C23" s="1056">
        <v>25</v>
      </c>
      <c r="D23" s="1056">
        <v>25</v>
      </c>
      <c r="E23" s="1056">
        <v>25</v>
      </c>
    </row>
    <row r="24" spans="1:5" ht="15.75" thickBot="1" x14ac:dyDescent="0.3">
      <c r="A24" s="1055" t="s">
        <v>878</v>
      </c>
      <c r="B24" s="1056">
        <v>50</v>
      </c>
      <c r="C24" s="1056">
        <v>54</v>
      </c>
      <c r="D24" s="1056">
        <v>60</v>
      </c>
      <c r="E24" s="1056">
        <v>64</v>
      </c>
    </row>
    <row r="25" spans="1:5" ht="15.75" thickBot="1" x14ac:dyDescent="0.3">
      <c r="A25" s="1055" t="s">
        <v>879</v>
      </c>
      <c r="B25" s="1057">
        <v>20384</v>
      </c>
      <c r="C25" s="1057">
        <v>20500</v>
      </c>
      <c r="D25" s="1057">
        <v>20700</v>
      </c>
      <c r="E25" s="1057">
        <v>21000</v>
      </c>
    </row>
    <row r="26" spans="1:5" ht="15.75" thickBot="1" x14ac:dyDescent="0.3">
      <c r="A26" s="1055" t="s">
        <v>880</v>
      </c>
      <c r="B26" s="1058">
        <v>142</v>
      </c>
      <c r="C26" s="1058">
        <v>142</v>
      </c>
      <c r="D26" s="1058">
        <v>142</v>
      </c>
      <c r="E26" s="1058">
        <v>142</v>
      </c>
    </row>
    <row r="27" spans="1:5" ht="84.75" thickBot="1" x14ac:dyDescent="0.3">
      <c r="A27" s="1055" t="s">
        <v>881</v>
      </c>
      <c r="B27" s="1058">
        <v>150</v>
      </c>
      <c r="C27" s="1058">
        <v>180</v>
      </c>
      <c r="D27" s="1058">
        <v>200</v>
      </c>
      <c r="E27" s="1058">
        <v>200</v>
      </c>
    </row>
    <row r="28" spans="1:5" ht="15.75" thickBot="1" x14ac:dyDescent="0.3">
      <c r="A28" s="1059" t="s">
        <v>882</v>
      </c>
      <c r="B28" s="1060">
        <v>600</v>
      </c>
      <c r="C28" s="1060">
        <v>700</v>
      </c>
      <c r="D28" s="1060">
        <v>800</v>
      </c>
      <c r="E28" s="1060">
        <v>900</v>
      </c>
    </row>
    <row r="29" spans="1:5" ht="36.75" thickBot="1" x14ac:dyDescent="0.3">
      <c r="A29" s="1059" t="s">
        <v>883</v>
      </c>
      <c r="B29" s="1061" t="s">
        <v>884</v>
      </c>
      <c r="C29" s="1061" t="s">
        <v>884</v>
      </c>
      <c r="D29" s="1061" t="s">
        <v>884</v>
      </c>
      <c r="E29" s="1061" t="s">
        <v>884</v>
      </c>
    </row>
    <row r="30" spans="1:5" ht="24.75" thickBot="1" x14ac:dyDescent="0.3">
      <c r="A30" s="1059" t="s">
        <v>885</v>
      </c>
      <c r="B30" s="1062">
        <v>15</v>
      </c>
      <c r="C30" s="1062">
        <v>18</v>
      </c>
      <c r="D30" s="1062">
        <v>20</v>
      </c>
      <c r="E30" s="1062">
        <v>25</v>
      </c>
    </row>
    <row r="31" spans="1:5" ht="36.75" thickBot="1" x14ac:dyDescent="0.3">
      <c r="A31" s="1059" t="s">
        <v>886</v>
      </c>
      <c r="B31" s="1062">
        <v>3</v>
      </c>
      <c r="C31" s="1062">
        <v>6</v>
      </c>
      <c r="D31" s="1062">
        <v>9</v>
      </c>
      <c r="E31" s="1062">
        <v>12</v>
      </c>
    </row>
    <row r="32" spans="1:5" ht="27" customHeight="1" thickBot="1" x14ac:dyDescent="0.3">
      <c r="A32" s="1063" t="s">
        <v>12</v>
      </c>
      <c r="B32" s="2546" t="s">
        <v>890</v>
      </c>
      <c r="C32" s="2547"/>
      <c r="D32" s="2547"/>
      <c r="E32" s="2548"/>
    </row>
    <row r="33" spans="1:5" ht="15.75" thickBot="1" x14ac:dyDescent="0.3">
      <c r="A33" s="2521" t="s">
        <v>120</v>
      </c>
      <c r="B33" s="2522"/>
      <c r="C33" s="2522"/>
      <c r="D33" s="2522"/>
      <c r="E33" s="2523"/>
    </row>
    <row r="34" spans="1:5" ht="15.75" thickBot="1" x14ac:dyDescent="0.3">
      <c r="A34" s="1158" t="s">
        <v>877</v>
      </c>
      <c r="B34" s="1064">
        <f>B44</f>
        <v>25</v>
      </c>
      <c r="C34" s="1064">
        <f>C44</f>
        <v>25</v>
      </c>
      <c r="D34" s="1064">
        <f>D44</f>
        <v>25</v>
      </c>
      <c r="E34" s="1064">
        <f>E44</f>
        <v>25</v>
      </c>
    </row>
    <row r="35" spans="1:5" ht="15.75" thickBot="1" x14ac:dyDescent="0.3">
      <c r="A35" s="1158" t="s">
        <v>878</v>
      </c>
      <c r="B35" s="1065">
        <v>50</v>
      </c>
      <c r="C35" s="1065">
        <v>54</v>
      </c>
      <c r="D35" s="1065">
        <v>60</v>
      </c>
      <c r="E35" s="1065">
        <v>64</v>
      </c>
    </row>
    <row r="36" spans="1:5" ht="15.75" thickBot="1" x14ac:dyDescent="0.3">
      <c r="A36" s="1158" t="s">
        <v>888</v>
      </c>
      <c r="B36" s="1057">
        <v>20384</v>
      </c>
      <c r="C36" s="1057">
        <v>20500</v>
      </c>
      <c r="D36" s="1057">
        <v>20700</v>
      </c>
      <c r="E36" s="1057">
        <v>21000</v>
      </c>
    </row>
    <row r="37" spans="1:5" ht="15.75" thickBot="1" x14ac:dyDescent="0.3">
      <c r="A37" s="2979" t="s">
        <v>66</v>
      </c>
      <c r="B37" s="2980"/>
      <c r="C37" s="2980"/>
      <c r="D37" s="2980"/>
      <c r="E37" s="2981"/>
    </row>
    <row r="38" spans="1:5" ht="15.75" thickBot="1" x14ac:dyDescent="0.3">
      <c r="A38" s="2979" t="s">
        <v>121</v>
      </c>
      <c r="B38" s="2980"/>
      <c r="C38" s="2980"/>
      <c r="D38" s="2980"/>
      <c r="E38" s="2981"/>
    </row>
    <row r="39" spans="1:5" ht="28.15" customHeight="1" thickBot="1" x14ac:dyDescent="0.3">
      <c r="A39" s="1066" t="s">
        <v>45</v>
      </c>
      <c r="B39" s="2985" t="s">
        <v>889</v>
      </c>
      <c r="C39" s="2986"/>
      <c r="D39" s="2986"/>
      <c r="E39" s="2987"/>
    </row>
    <row r="40" spans="1:5" ht="39" customHeight="1" thickBot="1" x14ac:dyDescent="0.3">
      <c r="A40" s="1158" t="s">
        <v>10</v>
      </c>
      <c r="B40" s="2530" t="s">
        <v>890</v>
      </c>
      <c r="C40" s="2531"/>
      <c r="D40" s="2531"/>
      <c r="E40" s="2532"/>
    </row>
    <row r="41" spans="1:5" ht="15.75" thickBot="1" x14ac:dyDescent="0.3">
      <c r="A41" s="1067" t="s">
        <v>13</v>
      </c>
      <c r="B41" s="2564" t="s">
        <v>891</v>
      </c>
      <c r="C41" s="2565"/>
      <c r="D41" s="2565"/>
      <c r="E41" s="2566"/>
    </row>
    <row r="42" spans="1:5" x14ac:dyDescent="0.25">
      <c r="A42" s="2974"/>
      <c r="B42" s="828">
        <v>2018</v>
      </c>
      <c r="C42" s="828">
        <v>2019</v>
      </c>
      <c r="D42" s="828">
        <v>2020</v>
      </c>
      <c r="E42" s="828">
        <v>2021</v>
      </c>
    </row>
    <row r="43" spans="1:5" ht="15.75" thickBot="1" x14ac:dyDescent="0.3">
      <c r="A43" s="2975"/>
      <c r="B43" s="827" t="s">
        <v>6</v>
      </c>
      <c r="C43" s="827" t="s">
        <v>7</v>
      </c>
      <c r="D43" s="827" t="s">
        <v>7</v>
      </c>
      <c r="E43" s="827" t="s">
        <v>7</v>
      </c>
    </row>
    <row r="44" spans="1:5" ht="15.75" thickBot="1" x14ac:dyDescent="0.3">
      <c r="A44" s="1158" t="s">
        <v>9</v>
      </c>
      <c r="B44" s="1068">
        <v>25</v>
      </c>
      <c r="C44" s="1068">
        <v>25</v>
      </c>
      <c r="D44" s="1068">
        <v>25</v>
      </c>
      <c r="E44" s="1068">
        <v>25</v>
      </c>
    </row>
    <row r="45" spans="1:5" ht="15.75" thickBot="1" x14ac:dyDescent="0.3">
      <c r="A45" s="1067" t="s">
        <v>14</v>
      </c>
      <c r="B45" s="1069">
        <v>61500</v>
      </c>
      <c r="C45" s="1069">
        <v>75000</v>
      </c>
      <c r="D45" s="1069">
        <v>100000</v>
      </c>
      <c r="E45" s="1069">
        <v>120000</v>
      </c>
    </row>
    <row r="46" spans="1:5" ht="15.75" thickBot="1" x14ac:dyDescent="0.3">
      <c r="A46" s="1067" t="s">
        <v>23</v>
      </c>
      <c r="B46" s="1069">
        <f>B45/B44</f>
        <v>2460</v>
      </c>
      <c r="C46" s="1069">
        <f>C45/C44</f>
        <v>3000</v>
      </c>
      <c r="D46" s="1069">
        <f>D45/D44</f>
        <v>4000</v>
      </c>
      <c r="E46" s="1069">
        <f>E45/E44</f>
        <v>4800</v>
      </c>
    </row>
    <row r="47" spans="1:5" ht="15.75" thickBot="1" x14ac:dyDescent="0.3">
      <c r="A47" s="1158" t="s">
        <v>15</v>
      </c>
      <c r="B47" s="1152" t="s">
        <v>21</v>
      </c>
      <c r="C47" s="1070">
        <f t="shared" ref="C47:E49" si="0">C44/B44-1</f>
        <v>0</v>
      </c>
      <c r="D47" s="1070">
        <f t="shared" si="0"/>
        <v>0</v>
      </c>
      <c r="E47" s="1070">
        <f t="shared" si="0"/>
        <v>0</v>
      </c>
    </row>
    <row r="48" spans="1:5" ht="15.75" thickBot="1" x14ac:dyDescent="0.3">
      <c r="A48" s="1158" t="s">
        <v>16</v>
      </c>
      <c r="B48" s="1152" t="s">
        <v>21</v>
      </c>
      <c r="C48" s="1070">
        <f t="shared" si="0"/>
        <v>0.21951219512195119</v>
      </c>
      <c r="D48" s="1070">
        <f t="shared" si="0"/>
        <v>0.33333333333333326</v>
      </c>
      <c r="E48" s="1070">
        <f t="shared" si="0"/>
        <v>0.19999999999999996</v>
      </c>
    </row>
    <row r="49" spans="1:5" ht="15.75" thickBot="1" x14ac:dyDescent="0.3">
      <c r="A49" s="1158" t="s">
        <v>17</v>
      </c>
      <c r="B49" s="1152" t="s">
        <v>21</v>
      </c>
      <c r="C49" s="1070">
        <f t="shared" si="0"/>
        <v>0.21951219512195119</v>
      </c>
      <c r="D49" s="1070">
        <f t="shared" si="0"/>
        <v>0.33333333333333326</v>
      </c>
      <c r="E49" s="1070">
        <f t="shared" si="0"/>
        <v>0.19999999999999996</v>
      </c>
    </row>
    <row r="50" spans="1:5" ht="15.75" thickBot="1" x14ac:dyDescent="0.3">
      <c r="A50" s="2976" t="s">
        <v>707</v>
      </c>
      <c r="B50" s="2977"/>
      <c r="C50" s="2977"/>
      <c r="D50" s="2977"/>
      <c r="E50" s="2978"/>
    </row>
    <row r="51" spans="1:5" x14ac:dyDescent="0.25">
      <c r="A51" s="2974"/>
      <c r="B51" s="828">
        <v>2018</v>
      </c>
      <c r="C51" s="828">
        <v>2019</v>
      </c>
      <c r="D51" s="828">
        <v>2020</v>
      </c>
      <c r="E51" s="828">
        <v>2021</v>
      </c>
    </row>
    <row r="52" spans="1:5" ht="15.75" thickBot="1" x14ac:dyDescent="0.3">
      <c r="A52" s="2975"/>
      <c r="B52" s="827" t="s">
        <v>6</v>
      </c>
      <c r="C52" s="827" t="s">
        <v>7</v>
      </c>
      <c r="D52" s="827" t="s">
        <v>7</v>
      </c>
      <c r="E52" s="827" t="s">
        <v>7</v>
      </c>
    </row>
    <row r="53" spans="1:5" ht="15.75" thickBot="1" x14ac:dyDescent="0.3">
      <c r="A53" s="981" t="s">
        <v>0</v>
      </c>
      <c r="B53" s="818"/>
      <c r="C53" s="818"/>
      <c r="D53" s="818"/>
      <c r="E53" s="818"/>
    </row>
    <row r="54" spans="1:5" ht="15.75" thickBot="1" x14ac:dyDescent="0.3">
      <c r="A54" s="981" t="s">
        <v>49</v>
      </c>
      <c r="B54" s="818"/>
      <c r="C54" s="818"/>
      <c r="D54" s="818"/>
      <c r="E54" s="818"/>
    </row>
    <row r="55" spans="1:5" ht="15.75" thickBot="1" x14ac:dyDescent="0.3">
      <c r="A55" s="981" t="s">
        <v>1</v>
      </c>
      <c r="B55" s="805">
        <v>12000</v>
      </c>
      <c r="C55" s="818"/>
      <c r="D55" s="818"/>
      <c r="E55" s="818"/>
    </row>
    <row r="56" spans="1:5" ht="15.75" thickBot="1" x14ac:dyDescent="0.3">
      <c r="A56" s="981" t="s">
        <v>2</v>
      </c>
      <c r="B56" s="805"/>
      <c r="C56" s="818"/>
      <c r="D56" s="818"/>
      <c r="E56" s="818"/>
    </row>
    <row r="57" spans="1:5" ht="15.75" thickBot="1" x14ac:dyDescent="0.3">
      <c r="A57" s="981" t="s">
        <v>28</v>
      </c>
      <c r="B57" s="794">
        <f>49500</f>
        <v>49500</v>
      </c>
      <c r="C57" s="794">
        <f>C45</f>
        <v>75000</v>
      </c>
      <c r="D57" s="794">
        <f>D45</f>
        <v>100000</v>
      </c>
      <c r="E57" s="794">
        <f>E45</f>
        <v>120000</v>
      </c>
    </row>
    <row r="58" spans="1:5" ht="15.75" thickBot="1" x14ac:dyDescent="0.3">
      <c r="A58" s="981" t="s">
        <v>30</v>
      </c>
      <c r="B58" s="805"/>
      <c r="C58" s="818"/>
      <c r="D58" s="818"/>
      <c r="E58" s="818"/>
    </row>
    <row r="59" spans="1:5" ht="15.75" thickBot="1" x14ac:dyDescent="0.3">
      <c r="A59" s="981" t="s">
        <v>3</v>
      </c>
      <c r="B59" s="805"/>
      <c r="C59" s="818"/>
      <c r="D59" s="818"/>
      <c r="E59" s="818"/>
    </row>
    <row r="60" spans="1:5" ht="15.75" thickBot="1" x14ac:dyDescent="0.3">
      <c r="A60" s="980" t="s">
        <v>68</v>
      </c>
      <c r="B60" s="794">
        <f>B59+B58+B57+B56+B55+B54+B53</f>
        <v>61500</v>
      </c>
      <c r="C60" s="794">
        <f>C59+C58+C57+C56+C55+C54+C53</f>
        <v>75000</v>
      </c>
      <c r="D60" s="794">
        <f>D59+D58+D57+D56+D55+D54+D53</f>
        <v>100000</v>
      </c>
      <c r="E60" s="794">
        <f>E59+E58+E57+E56+E55+E54+E53</f>
        <v>120000</v>
      </c>
    </row>
    <row r="61" spans="1:5" ht="15.75" thickBot="1" x14ac:dyDescent="0.3">
      <c r="A61" s="1071" t="s">
        <v>70</v>
      </c>
      <c r="B61" s="801">
        <f>B60-B45</f>
        <v>0</v>
      </c>
      <c r="C61" s="801">
        <f>C60-C45</f>
        <v>0</v>
      </c>
      <c r="D61" s="801">
        <f>D60-D45</f>
        <v>0</v>
      </c>
      <c r="E61" s="801">
        <f>E60-E45</f>
        <v>0</v>
      </c>
    </row>
    <row r="62" spans="1:5" ht="15.75" thickBot="1" x14ac:dyDescent="0.3">
      <c r="A62" s="2979" t="s">
        <v>66</v>
      </c>
      <c r="B62" s="2980"/>
      <c r="C62" s="2980"/>
      <c r="D62" s="2980"/>
      <c r="E62" s="2981"/>
    </row>
    <row r="63" spans="1:5" ht="15.75" thickBot="1" x14ac:dyDescent="0.3">
      <c r="A63" s="1066" t="s">
        <v>892</v>
      </c>
      <c r="B63" s="2982" t="s">
        <v>893</v>
      </c>
      <c r="C63" s="2983"/>
      <c r="D63" s="2983"/>
      <c r="E63" s="2984"/>
    </row>
    <row r="64" spans="1:5" ht="31.9" customHeight="1" thickBot="1" x14ac:dyDescent="0.3">
      <c r="A64" s="1158" t="s">
        <v>10</v>
      </c>
      <c r="B64" s="2530" t="s">
        <v>894</v>
      </c>
      <c r="C64" s="2531"/>
      <c r="D64" s="2531"/>
      <c r="E64" s="2532"/>
    </row>
    <row r="65" spans="1:5" ht="15.75" thickBot="1" x14ac:dyDescent="0.3">
      <c r="A65" s="1158" t="s">
        <v>13</v>
      </c>
      <c r="B65" s="2533" t="s">
        <v>880</v>
      </c>
      <c r="C65" s="2534"/>
      <c r="D65" s="2534"/>
      <c r="E65" s="2535"/>
    </row>
    <row r="66" spans="1:5" x14ac:dyDescent="0.25">
      <c r="A66" s="2974"/>
      <c r="B66" s="828">
        <v>2018</v>
      </c>
      <c r="C66" s="828">
        <v>2019</v>
      </c>
      <c r="D66" s="828">
        <v>2020</v>
      </c>
      <c r="E66" s="828">
        <v>2021</v>
      </c>
    </row>
    <row r="67" spans="1:5" ht="15.75" thickBot="1" x14ac:dyDescent="0.3">
      <c r="A67" s="2975"/>
      <c r="B67" s="827" t="s">
        <v>6</v>
      </c>
      <c r="C67" s="827" t="s">
        <v>7</v>
      </c>
      <c r="D67" s="827" t="s">
        <v>7</v>
      </c>
      <c r="E67" s="827" t="s">
        <v>7</v>
      </c>
    </row>
    <row r="68" spans="1:5" ht="15.75" thickBot="1" x14ac:dyDescent="0.3">
      <c r="A68" s="1158" t="s">
        <v>9</v>
      </c>
      <c r="B68" s="1072">
        <v>142</v>
      </c>
      <c r="C68" s="1072">
        <v>142</v>
      </c>
      <c r="D68" s="1072">
        <v>142</v>
      </c>
      <c r="E68" s="1072">
        <v>142</v>
      </c>
    </row>
    <row r="69" spans="1:5" ht="15.75" thickBot="1" x14ac:dyDescent="0.3">
      <c r="A69" s="1158" t="s">
        <v>14</v>
      </c>
      <c r="B69" s="1069">
        <v>26500</v>
      </c>
      <c r="C69" s="1069">
        <v>30000</v>
      </c>
      <c r="D69" s="1069">
        <v>33000</v>
      </c>
      <c r="E69" s="1069">
        <v>36000</v>
      </c>
    </row>
    <row r="70" spans="1:5" ht="15.75" thickBot="1" x14ac:dyDescent="0.3">
      <c r="A70" s="1158" t="s">
        <v>23</v>
      </c>
      <c r="B70" s="1073">
        <f>B69/B68</f>
        <v>186.61971830985917</v>
      </c>
      <c r="C70" s="1073">
        <f>C69/C68</f>
        <v>211.26760563380282</v>
      </c>
      <c r="D70" s="1073">
        <f>D69/D68</f>
        <v>232.3943661971831</v>
      </c>
      <c r="E70" s="1073">
        <f>E69/E68</f>
        <v>253.52112676056339</v>
      </c>
    </row>
    <row r="71" spans="1:5" ht="15.75" thickBot="1" x14ac:dyDescent="0.3">
      <c r="A71" s="1158" t="s">
        <v>15</v>
      </c>
      <c r="B71" s="1152"/>
      <c r="C71" s="1070">
        <f t="shared" ref="C71:E73" si="1">C68/B68-1</f>
        <v>0</v>
      </c>
      <c r="D71" s="1070">
        <f t="shared" si="1"/>
        <v>0</v>
      </c>
      <c r="E71" s="1070">
        <f t="shared" si="1"/>
        <v>0</v>
      </c>
    </row>
    <row r="72" spans="1:5" ht="15.75" thickBot="1" x14ac:dyDescent="0.3">
      <c r="A72" s="1158" t="s">
        <v>16</v>
      </c>
      <c r="B72" s="1152"/>
      <c r="C72" s="1070">
        <f t="shared" si="1"/>
        <v>0.13207547169811318</v>
      </c>
      <c r="D72" s="1070">
        <f t="shared" si="1"/>
        <v>0.10000000000000009</v>
      </c>
      <c r="E72" s="1070">
        <f t="shared" si="1"/>
        <v>9.0909090909090828E-2</v>
      </c>
    </row>
    <row r="73" spans="1:5" ht="15.75" thickBot="1" x14ac:dyDescent="0.3">
      <c r="A73" s="1158" t="s">
        <v>17</v>
      </c>
      <c r="B73" s="1152"/>
      <c r="C73" s="1070">
        <f t="shared" si="1"/>
        <v>0.13207547169811318</v>
      </c>
      <c r="D73" s="1070">
        <f t="shared" si="1"/>
        <v>0.10000000000000009</v>
      </c>
      <c r="E73" s="1070">
        <f t="shared" si="1"/>
        <v>9.0909090909090828E-2</v>
      </c>
    </row>
    <row r="74" spans="1:5" ht="15.75" thickBot="1" x14ac:dyDescent="0.3">
      <c r="A74" s="2976" t="s">
        <v>895</v>
      </c>
      <c r="B74" s="2977"/>
      <c r="C74" s="2977"/>
      <c r="D74" s="2977"/>
      <c r="E74" s="2978"/>
    </row>
    <row r="75" spans="1:5" x14ac:dyDescent="0.25">
      <c r="A75" s="2974"/>
      <c r="B75" s="828">
        <v>2018</v>
      </c>
      <c r="C75" s="828">
        <v>2019</v>
      </c>
      <c r="D75" s="828">
        <v>2020</v>
      </c>
      <c r="E75" s="828">
        <v>2021</v>
      </c>
    </row>
    <row r="76" spans="1:5" ht="15.75" thickBot="1" x14ac:dyDescent="0.3">
      <c r="A76" s="2975"/>
      <c r="B76" s="827" t="s">
        <v>6</v>
      </c>
      <c r="C76" s="827" t="s">
        <v>7</v>
      </c>
      <c r="D76" s="827" t="s">
        <v>7</v>
      </c>
      <c r="E76" s="827" t="s">
        <v>7</v>
      </c>
    </row>
    <row r="77" spans="1:5" ht="15.75" thickBot="1" x14ac:dyDescent="0.3">
      <c r="A77" s="981" t="s">
        <v>0</v>
      </c>
      <c r="B77" s="818"/>
      <c r="C77" s="818"/>
      <c r="D77" s="818"/>
      <c r="E77" s="818"/>
    </row>
    <row r="78" spans="1:5" ht="15.75" thickBot="1" x14ac:dyDescent="0.3">
      <c r="A78" s="981" t="s">
        <v>49</v>
      </c>
      <c r="B78" s="818"/>
      <c r="C78" s="818"/>
      <c r="D78" s="818"/>
      <c r="E78" s="818"/>
    </row>
    <row r="79" spans="1:5" ht="15.75" thickBot="1" x14ac:dyDescent="0.3">
      <c r="A79" s="981" t="s">
        <v>1</v>
      </c>
      <c r="B79" s="805"/>
      <c r="C79" s="818"/>
      <c r="D79" s="818"/>
      <c r="E79" s="818"/>
    </row>
    <row r="80" spans="1:5" ht="15.75" thickBot="1" x14ac:dyDescent="0.3">
      <c r="A80" s="981" t="s">
        <v>2</v>
      </c>
      <c r="B80" s="805"/>
      <c r="C80" s="818"/>
      <c r="D80" s="818"/>
      <c r="E80" s="818"/>
    </row>
    <row r="81" spans="1:5" ht="15.75" thickBot="1" x14ac:dyDescent="0.3">
      <c r="A81" s="981" t="s">
        <v>28</v>
      </c>
      <c r="B81" s="805">
        <f>B69</f>
        <v>26500</v>
      </c>
      <c r="C81" s="818">
        <f>C69</f>
        <v>30000</v>
      </c>
      <c r="D81" s="818">
        <f>D69</f>
        <v>33000</v>
      </c>
      <c r="E81" s="818">
        <f>E69</f>
        <v>36000</v>
      </c>
    </row>
    <row r="82" spans="1:5" ht="15.75" thickBot="1" x14ac:dyDescent="0.3">
      <c r="A82" s="981" t="s">
        <v>30</v>
      </c>
      <c r="B82" s="805"/>
      <c r="C82" s="818"/>
      <c r="D82" s="818"/>
      <c r="E82" s="818"/>
    </row>
    <row r="83" spans="1:5" ht="15.75" thickBot="1" x14ac:dyDescent="0.3">
      <c r="A83" s="981" t="s">
        <v>3</v>
      </c>
      <c r="B83" s="805"/>
      <c r="C83" s="818"/>
      <c r="D83" s="818"/>
      <c r="E83" s="818"/>
    </row>
    <row r="84" spans="1:5" ht="15.75" thickBot="1" x14ac:dyDescent="0.3">
      <c r="A84" s="1074" t="s">
        <v>71</v>
      </c>
      <c r="B84" s="794">
        <f>B83+B82+B81+B80+B79+B78+B77</f>
        <v>26500</v>
      </c>
      <c r="C84" s="794">
        <f>C83+C82+C81+C80+C79+C78+C77</f>
        <v>30000</v>
      </c>
      <c r="D84" s="794">
        <f>D83+D82+D81+D80+D79+D78+D77</f>
        <v>33000</v>
      </c>
      <c r="E84" s="794">
        <f>E83+E82+E81+E80+E79+E78+E77</f>
        <v>36000</v>
      </c>
    </row>
    <row r="85" spans="1:5" ht="15.75" thickBot="1" x14ac:dyDescent="0.3">
      <c r="A85" s="1071" t="s">
        <v>70</v>
      </c>
      <c r="B85" s="1075">
        <f>IF(B84-B69=0,0,"Error")</f>
        <v>0</v>
      </c>
      <c r="C85" s="1075">
        <f>IF(C84-C69=0,0,"Error")</f>
        <v>0</v>
      </c>
      <c r="D85" s="1075">
        <f>IF(D84-D69=0,0,"Error")</f>
        <v>0</v>
      </c>
      <c r="E85" s="1075">
        <f>IF(E84-E69=0,0,"Error")</f>
        <v>0</v>
      </c>
    </row>
    <row r="86" spans="1:5" ht="15.75" thickBot="1" x14ac:dyDescent="0.3">
      <c r="A86" s="2979" t="s">
        <v>66</v>
      </c>
      <c r="B86" s="2980"/>
      <c r="C86" s="2980"/>
      <c r="D86" s="2980"/>
      <c r="E86" s="2981"/>
    </row>
    <row r="87" spans="1:5" ht="15.75" thickBot="1" x14ac:dyDescent="0.3">
      <c r="A87" s="2979" t="s">
        <v>100</v>
      </c>
      <c r="B87" s="2980"/>
      <c r="C87" s="2980"/>
      <c r="D87" s="2980"/>
      <c r="E87" s="2981"/>
    </row>
    <row r="88" spans="1:5" ht="15.75" thickBot="1" x14ac:dyDescent="0.3">
      <c r="A88" s="2979" t="s">
        <v>101</v>
      </c>
      <c r="B88" s="2980"/>
      <c r="C88" s="2980"/>
      <c r="D88" s="2980"/>
      <c r="E88" s="2981"/>
    </row>
    <row r="89" spans="1:5" ht="15.75" thickBot="1" x14ac:dyDescent="0.3">
      <c r="A89" s="1076" t="s">
        <v>114</v>
      </c>
      <c r="B89" s="2988" t="s">
        <v>46</v>
      </c>
      <c r="C89" s="2989"/>
      <c r="D89" s="2989"/>
      <c r="E89" s="2990"/>
    </row>
    <row r="90" spans="1:5" ht="15.75" thickBot="1" x14ac:dyDescent="0.3">
      <c r="A90" s="1077" t="s">
        <v>896</v>
      </c>
      <c r="B90" s="2991" t="s">
        <v>897</v>
      </c>
      <c r="C90" s="2991"/>
      <c r="D90" s="2991"/>
      <c r="E90" s="2991"/>
    </row>
    <row r="91" spans="1:5" x14ac:dyDescent="0.25">
      <c r="A91" s="2992" t="s">
        <v>10</v>
      </c>
      <c r="B91" s="2994" t="s">
        <v>898</v>
      </c>
      <c r="C91" s="2994"/>
      <c r="D91" s="2994"/>
      <c r="E91" s="2994"/>
    </row>
    <row r="92" spans="1:5" ht="15.75" thickBot="1" x14ac:dyDescent="0.3">
      <c r="A92" s="2993"/>
      <c r="B92" s="2994"/>
      <c r="C92" s="2994"/>
      <c r="D92" s="2994"/>
      <c r="E92" s="2994"/>
    </row>
    <row r="93" spans="1:5" ht="15.75" thickBot="1" x14ac:dyDescent="0.3">
      <c r="A93" s="1160" t="s">
        <v>13</v>
      </c>
      <c r="B93" s="2995" t="s">
        <v>899</v>
      </c>
      <c r="C93" s="2995"/>
      <c r="D93" s="2995"/>
      <c r="E93" s="2995"/>
    </row>
    <row r="94" spans="1:5" x14ac:dyDescent="0.25">
      <c r="A94" s="2974"/>
      <c r="B94" s="828">
        <v>2018</v>
      </c>
      <c r="C94" s="828">
        <v>2019</v>
      </c>
      <c r="D94" s="828">
        <v>2020</v>
      </c>
      <c r="E94" s="828">
        <v>2021</v>
      </c>
    </row>
    <row r="95" spans="1:5" ht="15.75" thickBot="1" x14ac:dyDescent="0.3">
      <c r="A95" s="2975"/>
      <c r="B95" s="827" t="s">
        <v>6</v>
      </c>
      <c r="C95" s="827" t="s">
        <v>7</v>
      </c>
      <c r="D95" s="827" t="s">
        <v>7</v>
      </c>
      <c r="E95" s="827" t="s">
        <v>7</v>
      </c>
    </row>
    <row r="96" spans="1:5" ht="15.75" thickBot="1" x14ac:dyDescent="0.3">
      <c r="A96" s="1158" t="s">
        <v>9</v>
      </c>
      <c r="B96" s="1069">
        <v>3</v>
      </c>
      <c r="C96" s="1069">
        <v>6</v>
      </c>
      <c r="D96" s="1069">
        <v>6</v>
      </c>
      <c r="E96" s="1069">
        <v>6</v>
      </c>
    </row>
    <row r="97" spans="1:5" ht="15.75" thickBot="1" x14ac:dyDescent="0.3">
      <c r="A97" s="1158" t="s">
        <v>14</v>
      </c>
      <c r="B97" s="1069">
        <v>259816</v>
      </c>
      <c r="C97" s="1069">
        <v>350000</v>
      </c>
      <c r="D97" s="1069">
        <v>350000</v>
      </c>
      <c r="E97" s="1069">
        <v>350000</v>
      </c>
    </row>
    <row r="98" spans="1:5" ht="15.75" thickBot="1" x14ac:dyDescent="0.3">
      <c r="A98" s="1158" t="s">
        <v>23</v>
      </c>
      <c r="B98" s="1069">
        <f>B97/B96</f>
        <v>86605.333333333328</v>
      </c>
      <c r="C98" s="1069">
        <f>C97/C96</f>
        <v>58333.333333333336</v>
      </c>
      <c r="D98" s="1069">
        <f>D97/D96</f>
        <v>58333.333333333336</v>
      </c>
      <c r="E98" s="1069">
        <f>E97/E96</f>
        <v>58333.333333333336</v>
      </c>
    </row>
    <row r="99" spans="1:5" ht="15.75" thickBot="1" x14ac:dyDescent="0.3">
      <c r="A99" s="1158" t="s">
        <v>15</v>
      </c>
      <c r="B99" s="1152" t="s">
        <v>21</v>
      </c>
      <c r="C99" s="1070">
        <f t="shared" ref="C99:E101" si="2">C96/B96-1</f>
        <v>1</v>
      </c>
      <c r="D99" s="1070">
        <f t="shared" si="2"/>
        <v>0</v>
      </c>
      <c r="E99" s="1070">
        <f t="shared" si="2"/>
        <v>0</v>
      </c>
    </row>
    <row r="100" spans="1:5" ht="15.75" thickBot="1" x14ac:dyDescent="0.3">
      <c r="A100" s="1158" t="s">
        <v>16</v>
      </c>
      <c r="B100" s="1152" t="s">
        <v>21</v>
      </c>
      <c r="C100" s="1070">
        <f t="shared" si="2"/>
        <v>0.34710718354527814</v>
      </c>
      <c r="D100" s="1070">
        <f t="shared" si="2"/>
        <v>0</v>
      </c>
      <c r="E100" s="1070">
        <f t="shared" si="2"/>
        <v>0</v>
      </c>
    </row>
    <row r="101" spans="1:5" ht="15.75" thickBot="1" x14ac:dyDescent="0.3">
      <c r="A101" s="1158" t="s">
        <v>17</v>
      </c>
      <c r="B101" s="1152" t="s">
        <v>21</v>
      </c>
      <c r="C101" s="1070">
        <f t="shared" si="2"/>
        <v>-0.32644640822736082</v>
      </c>
      <c r="D101" s="1070">
        <f t="shared" si="2"/>
        <v>0</v>
      </c>
      <c r="E101" s="1070">
        <f t="shared" si="2"/>
        <v>0</v>
      </c>
    </row>
    <row r="102" spans="1:5" ht="15.75" thickBot="1" x14ac:dyDescent="0.3">
      <c r="A102" s="2976" t="s">
        <v>895</v>
      </c>
      <c r="B102" s="2977"/>
      <c r="C102" s="2977"/>
      <c r="D102" s="2977"/>
      <c r="E102" s="2978"/>
    </row>
    <row r="103" spans="1:5" x14ac:dyDescent="0.25">
      <c r="A103" s="2974"/>
      <c r="B103" s="828">
        <v>2018</v>
      </c>
      <c r="C103" s="828">
        <v>2019</v>
      </c>
      <c r="D103" s="828">
        <v>2020</v>
      </c>
      <c r="E103" s="828">
        <v>2021</v>
      </c>
    </row>
    <row r="104" spans="1:5" ht="15.75" thickBot="1" x14ac:dyDescent="0.3">
      <c r="A104" s="2975"/>
      <c r="B104" s="827" t="s">
        <v>6</v>
      </c>
      <c r="C104" s="827" t="s">
        <v>7</v>
      </c>
      <c r="D104" s="827" t="s">
        <v>7</v>
      </c>
      <c r="E104" s="827" t="s">
        <v>7</v>
      </c>
    </row>
    <row r="105" spans="1:5" ht="15.75" thickBot="1" x14ac:dyDescent="0.3">
      <c r="A105" s="1" t="s">
        <v>104</v>
      </c>
      <c r="B105" s="8">
        <v>0</v>
      </c>
      <c r="C105" s="8">
        <v>0</v>
      </c>
      <c r="D105" s="8">
        <v>0</v>
      </c>
      <c r="E105" s="8">
        <v>0</v>
      </c>
    </row>
    <row r="106" spans="1:5" ht="15.75" thickBot="1" x14ac:dyDescent="0.3">
      <c r="A106" s="1" t="s">
        <v>105</v>
      </c>
      <c r="B106" s="1069">
        <f>B97</f>
        <v>259816</v>
      </c>
      <c r="C106" s="1069">
        <f>C97</f>
        <v>350000</v>
      </c>
      <c r="D106" s="1069">
        <f>D97</f>
        <v>350000</v>
      </c>
      <c r="E106" s="1069">
        <f>E97</f>
        <v>350000</v>
      </c>
    </row>
    <row r="107" spans="1:5" ht="15.75" thickBot="1" x14ac:dyDescent="0.3">
      <c r="A107" s="20" t="s">
        <v>71</v>
      </c>
      <c r="B107" s="1069">
        <f>B97</f>
        <v>259816</v>
      </c>
      <c r="C107" s="1069">
        <f>C106+C105</f>
        <v>350000</v>
      </c>
      <c r="D107" s="1069">
        <f>D106+D105</f>
        <v>350000</v>
      </c>
      <c r="E107" s="1069">
        <f>E106+E105</f>
        <v>350000</v>
      </c>
    </row>
    <row r="108" spans="1:5" ht="15.75" thickBot="1" x14ac:dyDescent="0.3">
      <c r="A108" s="1071" t="s">
        <v>70</v>
      </c>
      <c r="B108" s="801">
        <f>B107-B97</f>
        <v>0</v>
      </c>
      <c r="C108" s="801">
        <f>C107-C97</f>
        <v>0</v>
      </c>
      <c r="D108" s="801">
        <f>D107-D97</f>
        <v>0</v>
      </c>
      <c r="E108" s="801">
        <f>E107-E97</f>
        <v>0</v>
      </c>
    </row>
    <row r="109" spans="1:5" ht="15.75" thickBot="1" x14ac:dyDescent="0.3">
      <c r="A109" s="2979" t="s">
        <v>67</v>
      </c>
      <c r="B109" s="2980"/>
      <c r="C109" s="2980"/>
      <c r="D109" s="2980"/>
      <c r="E109" s="2981"/>
    </row>
    <row r="110" spans="1:5" ht="15.75" thickBot="1" x14ac:dyDescent="0.3">
      <c r="A110" s="1066" t="s">
        <v>45</v>
      </c>
      <c r="B110" s="2997" t="s">
        <v>900</v>
      </c>
      <c r="C110" s="2998"/>
      <c r="D110" s="2998"/>
      <c r="E110" s="2999"/>
    </row>
    <row r="111" spans="1:5" ht="15.75" thickBot="1" x14ac:dyDescent="0.3">
      <c r="A111" s="1158" t="s">
        <v>10</v>
      </c>
      <c r="B111" s="2530" t="s">
        <v>901</v>
      </c>
      <c r="C111" s="2531"/>
      <c r="D111" s="2531"/>
      <c r="E111" s="2532"/>
    </row>
    <row r="112" spans="1:5" ht="15.75" thickBot="1" x14ac:dyDescent="0.3">
      <c r="A112" s="1158" t="s">
        <v>13</v>
      </c>
      <c r="B112" s="2533" t="s">
        <v>902</v>
      </c>
      <c r="C112" s="2534"/>
      <c r="D112" s="2534"/>
      <c r="E112" s="2535"/>
    </row>
    <row r="113" spans="1:5" x14ac:dyDescent="0.25">
      <c r="A113" s="2974"/>
      <c r="B113" s="828">
        <v>2018</v>
      </c>
      <c r="C113" s="828">
        <v>2019</v>
      </c>
      <c r="D113" s="828">
        <v>2020</v>
      </c>
      <c r="E113" s="828">
        <v>2021</v>
      </c>
    </row>
    <row r="114" spans="1:5" ht="15.75" thickBot="1" x14ac:dyDescent="0.3">
      <c r="A114" s="2975"/>
      <c r="B114" s="827" t="s">
        <v>6</v>
      </c>
      <c r="C114" s="827" t="s">
        <v>7</v>
      </c>
      <c r="D114" s="827" t="s">
        <v>7</v>
      </c>
      <c r="E114" s="827" t="s">
        <v>7</v>
      </c>
    </row>
    <row r="115" spans="1:5" ht="15.75" thickBot="1" x14ac:dyDescent="0.3">
      <c r="A115" s="1158" t="s">
        <v>9</v>
      </c>
      <c r="B115" s="1072">
        <v>4</v>
      </c>
      <c r="C115" s="1072">
        <v>4</v>
      </c>
      <c r="D115" s="1072">
        <v>4</v>
      </c>
      <c r="E115" s="1072">
        <v>4</v>
      </c>
    </row>
    <row r="116" spans="1:5" ht="15.75" thickBot="1" x14ac:dyDescent="0.3">
      <c r="A116" s="1158" t="s">
        <v>14</v>
      </c>
      <c r="B116" s="1069">
        <v>1000</v>
      </c>
      <c r="C116" s="1069">
        <v>1000</v>
      </c>
      <c r="D116" s="1069">
        <v>1000</v>
      </c>
      <c r="E116" s="1069">
        <v>1000</v>
      </c>
    </row>
    <row r="117" spans="1:5" ht="15.75" thickBot="1" x14ac:dyDescent="0.3">
      <c r="A117" s="1158" t="s">
        <v>23</v>
      </c>
      <c r="B117" s="1073">
        <f>B116/B115</f>
        <v>250</v>
      </c>
      <c r="C117" s="1073">
        <f>C116/C115</f>
        <v>250</v>
      </c>
      <c r="D117" s="1073">
        <f>D116/D115</f>
        <v>250</v>
      </c>
      <c r="E117" s="1073">
        <f>E116/E115</f>
        <v>250</v>
      </c>
    </row>
    <row r="118" spans="1:5" ht="15.75" thickBot="1" x14ac:dyDescent="0.3">
      <c r="A118" s="1158" t="s">
        <v>15</v>
      </c>
      <c r="B118" s="1152"/>
      <c r="C118" s="1070">
        <f t="shared" ref="C118:E120" si="3">C115/B115-1</f>
        <v>0</v>
      </c>
      <c r="D118" s="1070">
        <f t="shared" si="3"/>
        <v>0</v>
      </c>
      <c r="E118" s="1070">
        <f t="shared" si="3"/>
        <v>0</v>
      </c>
    </row>
    <row r="119" spans="1:5" ht="15.75" thickBot="1" x14ac:dyDescent="0.3">
      <c r="A119" s="1158" t="s">
        <v>16</v>
      </c>
      <c r="B119" s="1152"/>
      <c r="C119" s="1070">
        <f t="shared" si="3"/>
        <v>0</v>
      </c>
      <c r="D119" s="1070">
        <f t="shared" si="3"/>
        <v>0</v>
      </c>
      <c r="E119" s="1070">
        <f t="shared" si="3"/>
        <v>0</v>
      </c>
    </row>
    <row r="120" spans="1:5" ht="15.75" thickBot="1" x14ac:dyDescent="0.3">
      <c r="A120" s="1158" t="s">
        <v>17</v>
      </c>
      <c r="B120" s="1152"/>
      <c r="C120" s="1070">
        <f t="shared" si="3"/>
        <v>0</v>
      </c>
      <c r="D120" s="1070">
        <f t="shared" si="3"/>
        <v>0</v>
      </c>
      <c r="E120" s="1070">
        <f t="shared" si="3"/>
        <v>0</v>
      </c>
    </row>
    <row r="121" spans="1:5" ht="15.75" thickBot="1" x14ac:dyDescent="0.3">
      <c r="A121" s="2976" t="s">
        <v>895</v>
      </c>
      <c r="B121" s="2977"/>
      <c r="C121" s="2977"/>
      <c r="D121" s="2977"/>
      <c r="E121" s="2978"/>
    </row>
    <row r="122" spans="1:5" x14ac:dyDescent="0.25">
      <c r="A122" s="2974"/>
      <c r="B122" s="828">
        <v>2018</v>
      </c>
      <c r="C122" s="828">
        <v>2019</v>
      </c>
      <c r="D122" s="828">
        <v>2020</v>
      </c>
      <c r="E122" s="828">
        <v>2021</v>
      </c>
    </row>
    <row r="123" spans="1:5" ht="15.75" thickBot="1" x14ac:dyDescent="0.3">
      <c r="A123" s="2975"/>
      <c r="B123" s="827" t="s">
        <v>6</v>
      </c>
      <c r="C123" s="827" t="s">
        <v>7</v>
      </c>
      <c r="D123" s="827" t="s">
        <v>7</v>
      </c>
      <c r="E123" s="827" t="s">
        <v>7</v>
      </c>
    </row>
    <row r="124" spans="1:5" ht="15.75" thickBot="1" x14ac:dyDescent="0.3">
      <c r="A124" s="981" t="s">
        <v>0</v>
      </c>
      <c r="B124" s="818"/>
      <c r="C124" s="818"/>
      <c r="D124" s="818"/>
      <c r="E124" s="818"/>
    </row>
    <row r="125" spans="1:5" ht="15.75" thickBot="1" x14ac:dyDescent="0.3">
      <c r="A125" s="981" t="s">
        <v>49</v>
      </c>
      <c r="B125" s="818"/>
      <c r="C125" s="818"/>
      <c r="D125" s="818"/>
      <c r="E125" s="818"/>
    </row>
    <row r="126" spans="1:5" ht="15.75" thickBot="1" x14ac:dyDescent="0.3">
      <c r="A126" s="981" t="s">
        <v>1</v>
      </c>
      <c r="B126" s="805"/>
      <c r="C126" s="818"/>
      <c r="D126" s="818"/>
      <c r="E126" s="818"/>
    </row>
    <row r="127" spans="1:5" ht="15.75" thickBot="1" x14ac:dyDescent="0.3">
      <c r="A127" s="981" t="s">
        <v>2</v>
      </c>
      <c r="B127" s="805"/>
      <c r="C127" s="818"/>
      <c r="D127" s="818"/>
      <c r="E127" s="818"/>
    </row>
    <row r="128" spans="1:5" ht="15.75" thickBot="1" x14ac:dyDescent="0.3">
      <c r="A128" s="981" t="s">
        <v>28</v>
      </c>
      <c r="B128" s="805">
        <f>B116</f>
        <v>1000</v>
      </c>
      <c r="C128" s="818">
        <f>C116</f>
        <v>1000</v>
      </c>
      <c r="D128" s="818">
        <f>D116</f>
        <v>1000</v>
      </c>
      <c r="E128" s="818">
        <f>E116</f>
        <v>1000</v>
      </c>
    </row>
    <row r="129" spans="1:5" ht="15.75" thickBot="1" x14ac:dyDescent="0.3">
      <c r="A129" s="981" t="s">
        <v>30</v>
      </c>
      <c r="B129" s="805"/>
      <c r="C129" s="818"/>
      <c r="D129" s="818"/>
      <c r="E129" s="818"/>
    </row>
    <row r="130" spans="1:5" ht="15.75" thickBot="1" x14ac:dyDescent="0.3">
      <c r="A130" s="981" t="s">
        <v>3</v>
      </c>
      <c r="B130" s="805"/>
      <c r="C130" s="818"/>
      <c r="D130" s="818"/>
      <c r="E130" s="818"/>
    </row>
    <row r="131" spans="1:5" ht="15.75" thickBot="1" x14ac:dyDescent="0.3">
      <c r="A131" s="1074" t="s">
        <v>71</v>
      </c>
      <c r="B131" s="805">
        <f>B130+B129+B128+B127+B126+B125+B124</f>
        <v>1000</v>
      </c>
      <c r="C131" s="805">
        <f>C130+C129+C128+C127+C126+C125+C124</f>
        <v>1000</v>
      </c>
      <c r="D131" s="805">
        <f>D130+D129+D128+D127+D126+D125+D124</f>
        <v>1000</v>
      </c>
      <c r="E131" s="805">
        <f>E130+E129+E128+E127+E126+E125+E124</f>
        <v>1000</v>
      </c>
    </row>
    <row r="132" spans="1:5" ht="15.75" thickBot="1" x14ac:dyDescent="0.3">
      <c r="A132" s="1071" t="s">
        <v>70</v>
      </c>
      <c r="B132" s="1075">
        <f>IF(B131-B116=0,0,"Error")</f>
        <v>0</v>
      </c>
      <c r="C132" s="1075">
        <f>IF(C131-C116=0,0,"Error")</f>
        <v>0</v>
      </c>
      <c r="D132" s="1075">
        <f>IF(D131-D116=0,0,"Error")</f>
        <v>0</v>
      </c>
      <c r="E132" s="1075">
        <f>IF(E131-E116=0,0,"Error")</f>
        <v>0</v>
      </c>
    </row>
    <row r="133" spans="1:5" ht="15.75" thickBot="1" x14ac:dyDescent="0.3">
      <c r="A133" s="2979" t="s">
        <v>67</v>
      </c>
      <c r="B133" s="2980"/>
      <c r="C133" s="2980"/>
      <c r="D133" s="2980"/>
      <c r="E133" s="2981"/>
    </row>
    <row r="134" spans="1:5" ht="15.75" thickBot="1" x14ac:dyDescent="0.3">
      <c r="A134" s="1078" t="s">
        <v>892</v>
      </c>
      <c r="B134" s="2996" t="s">
        <v>903</v>
      </c>
      <c r="C134" s="2996"/>
      <c r="D134" s="2996"/>
      <c r="E134" s="2996"/>
    </row>
    <row r="135" spans="1:5" ht="15.75" thickBot="1" x14ac:dyDescent="0.3">
      <c r="A135" s="1160" t="s">
        <v>10</v>
      </c>
      <c r="B135" s="3011" t="s">
        <v>904</v>
      </c>
      <c r="C135" s="3011"/>
      <c r="D135" s="3011"/>
      <c r="E135" s="3011"/>
    </row>
    <row r="136" spans="1:5" ht="15.75" thickBot="1" x14ac:dyDescent="0.3">
      <c r="A136" s="1160" t="s">
        <v>13</v>
      </c>
      <c r="B136" s="3012" t="s">
        <v>905</v>
      </c>
      <c r="C136" s="3012"/>
      <c r="D136" s="3012"/>
      <c r="E136" s="3012"/>
    </row>
    <row r="137" spans="1:5" x14ac:dyDescent="0.25">
      <c r="A137" s="2974"/>
      <c r="B137" s="828">
        <v>2018</v>
      </c>
      <c r="C137" s="828">
        <v>2019</v>
      </c>
      <c r="D137" s="828">
        <v>2020</v>
      </c>
      <c r="E137" s="828">
        <v>2021</v>
      </c>
    </row>
    <row r="138" spans="1:5" ht="15.75" thickBot="1" x14ac:dyDescent="0.3">
      <c r="A138" s="2975"/>
      <c r="B138" s="827" t="s">
        <v>6</v>
      </c>
      <c r="C138" s="827" t="s">
        <v>7</v>
      </c>
      <c r="D138" s="827" t="s">
        <v>7</v>
      </c>
      <c r="E138" s="827" t="s">
        <v>7</v>
      </c>
    </row>
    <row r="139" spans="1:5" ht="15.75" thickBot="1" x14ac:dyDescent="0.3">
      <c r="A139" s="1158" t="s">
        <v>9</v>
      </c>
      <c r="B139" s="1072">
        <v>10</v>
      </c>
      <c r="C139" s="1072">
        <v>12</v>
      </c>
      <c r="D139" s="1072">
        <v>12</v>
      </c>
      <c r="E139" s="1072">
        <v>12</v>
      </c>
    </row>
    <row r="140" spans="1:5" ht="15.75" thickBot="1" x14ac:dyDescent="0.3">
      <c r="A140" s="1158" t="s">
        <v>14</v>
      </c>
      <c r="B140" s="1069">
        <v>5000</v>
      </c>
      <c r="C140" s="1069">
        <v>6200</v>
      </c>
      <c r="D140" s="1069">
        <v>6400</v>
      </c>
      <c r="E140" s="1069">
        <v>6600</v>
      </c>
    </row>
    <row r="141" spans="1:5" ht="15.75" thickBot="1" x14ac:dyDescent="0.3">
      <c r="A141" s="1158" t="s">
        <v>23</v>
      </c>
      <c r="B141" s="1073">
        <f>B140/B139</f>
        <v>500</v>
      </c>
      <c r="C141" s="1073">
        <f>C140/C139</f>
        <v>516.66666666666663</v>
      </c>
      <c r="D141" s="1073">
        <f>D140/D139</f>
        <v>533.33333333333337</v>
      </c>
      <c r="E141" s="1073">
        <f>E140/E139</f>
        <v>550</v>
      </c>
    </row>
    <row r="142" spans="1:5" ht="15.75" thickBot="1" x14ac:dyDescent="0.3">
      <c r="A142" s="1158" t="s">
        <v>15</v>
      </c>
      <c r="B142" s="1152"/>
      <c r="C142" s="1070">
        <f>C139/C139-1</f>
        <v>0</v>
      </c>
      <c r="D142" s="1070">
        <f>D139/D139-1</f>
        <v>0</v>
      </c>
      <c r="E142" s="1070">
        <f>E139/E139-1</f>
        <v>0</v>
      </c>
    </row>
    <row r="143" spans="1:5" ht="15.75" thickBot="1" x14ac:dyDescent="0.3">
      <c r="A143" s="1158" t="s">
        <v>16</v>
      </c>
      <c r="B143" s="1152"/>
      <c r="C143" s="1070">
        <f t="shared" ref="C143:E144" si="4">C140/B140-1</f>
        <v>0.24</v>
      </c>
      <c r="D143" s="1070">
        <f t="shared" si="4"/>
        <v>3.2258064516129004E-2</v>
      </c>
      <c r="E143" s="1070">
        <f t="shared" si="4"/>
        <v>3.125E-2</v>
      </c>
    </row>
    <row r="144" spans="1:5" ht="15.75" thickBot="1" x14ac:dyDescent="0.3">
      <c r="A144" s="1158" t="s">
        <v>17</v>
      </c>
      <c r="B144" s="1152"/>
      <c r="C144" s="1070">
        <f t="shared" si="4"/>
        <v>3.3333333333333215E-2</v>
      </c>
      <c r="D144" s="1070">
        <f t="shared" si="4"/>
        <v>3.2258064516129226E-2</v>
      </c>
      <c r="E144" s="1070">
        <f t="shared" si="4"/>
        <v>3.125E-2</v>
      </c>
    </row>
    <row r="145" spans="1:5" ht="15.75" thickBot="1" x14ac:dyDescent="0.3">
      <c r="A145" s="2976" t="s">
        <v>895</v>
      </c>
      <c r="B145" s="2977"/>
      <c r="C145" s="2977"/>
      <c r="D145" s="2977"/>
      <c r="E145" s="2978"/>
    </row>
    <row r="146" spans="1:5" x14ac:dyDescent="0.25">
      <c r="A146" s="2974"/>
      <c r="B146" s="828">
        <v>2018</v>
      </c>
      <c r="C146" s="828">
        <v>2019</v>
      </c>
      <c r="D146" s="828">
        <v>2020</v>
      </c>
      <c r="E146" s="828">
        <v>2021</v>
      </c>
    </row>
    <row r="147" spans="1:5" ht="15.75" thickBot="1" x14ac:dyDescent="0.3">
      <c r="A147" s="2975"/>
      <c r="B147" s="827" t="s">
        <v>6</v>
      </c>
      <c r="C147" s="827" t="s">
        <v>7</v>
      </c>
      <c r="D147" s="827" t="s">
        <v>7</v>
      </c>
      <c r="E147" s="827" t="s">
        <v>7</v>
      </c>
    </row>
    <row r="148" spans="1:5" ht="15.75" thickBot="1" x14ac:dyDescent="0.3">
      <c r="A148" s="981" t="s">
        <v>0</v>
      </c>
      <c r="B148" s="818"/>
      <c r="C148" s="818"/>
      <c r="D148" s="818"/>
      <c r="E148" s="818"/>
    </row>
    <row r="149" spans="1:5" ht="15.75" thickBot="1" x14ac:dyDescent="0.3">
      <c r="A149" s="981" t="s">
        <v>49</v>
      </c>
      <c r="B149" s="818"/>
      <c r="C149" s="818"/>
      <c r="D149" s="818"/>
      <c r="E149" s="818"/>
    </row>
    <row r="150" spans="1:5" ht="15.75" thickBot="1" x14ac:dyDescent="0.3">
      <c r="A150" s="981" t="s">
        <v>1</v>
      </c>
      <c r="B150" s="805"/>
      <c r="C150" s="818"/>
      <c r="D150" s="818"/>
      <c r="E150" s="818"/>
    </row>
    <row r="151" spans="1:5" ht="15.75" thickBot="1" x14ac:dyDescent="0.3">
      <c r="A151" s="981" t="s">
        <v>2</v>
      </c>
      <c r="B151" s="805"/>
      <c r="C151" s="818"/>
      <c r="D151" s="818"/>
      <c r="E151" s="818"/>
    </row>
    <row r="152" spans="1:5" ht="15.75" thickBot="1" x14ac:dyDescent="0.3">
      <c r="A152" s="981" t="s">
        <v>28</v>
      </c>
      <c r="B152" s="805">
        <f>B140</f>
        <v>5000</v>
      </c>
      <c r="C152" s="818">
        <f>C140</f>
        <v>6200</v>
      </c>
      <c r="D152" s="818">
        <f>D140</f>
        <v>6400</v>
      </c>
      <c r="E152" s="818">
        <f>E140</f>
        <v>6600</v>
      </c>
    </row>
    <row r="153" spans="1:5" ht="15.75" thickBot="1" x14ac:dyDescent="0.3">
      <c r="A153" s="981" t="s">
        <v>30</v>
      </c>
      <c r="B153" s="805"/>
      <c r="C153" s="818"/>
      <c r="D153" s="818"/>
      <c r="E153" s="818"/>
    </row>
    <row r="154" spans="1:5" ht="15.75" thickBot="1" x14ac:dyDescent="0.3">
      <c r="A154" s="981" t="s">
        <v>3</v>
      </c>
      <c r="B154" s="805"/>
      <c r="C154" s="818"/>
      <c r="D154" s="818"/>
      <c r="E154" s="818"/>
    </row>
    <row r="155" spans="1:5" ht="15.75" thickBot="1" x14ac:dyDescent="0.3">
      <c r="A155" s="1074" t="s">
        <v>71</v>
      </c>
      <c r="B155" s="805">
        <f>B154+B153+B152+B151+B150+B149+B148</f>
        <v>5000</v>
      </c>
      <c r="C155" s="805">
        <f>C154+C153+C152+C151+C150+C149+C148</f>
        <v>6200</v>
      </c>
      <c r="D155" s="805">
        <f>D154+D153+D152+D151+D150+D149+D148</f>
        <v>6400</v>
      </c>
      <c r="E155" s="805">
        <f>E154+E153+E152+E151+E150+E149+E148</f>
        <v>6600</v>
      </c>
    </row>
    <row r="156" spans="1:5" ht="15.75" thickBot="1" x14ac:dyDescent="0.3">
      <c r="A156" s="1071" t="s">
        <v>70</v>
      </c>
      <c r="B156" s="1075">
        <f>IF(B155-B140=0,0,"Error")</f>
        <v>0</v>
      </c>
      <c r="C156" s="1075">
        <f>IF(C155-C140=0,0,"Error")</f>
        <v>0</v>
      </c>
      <c r="D156" s="1075">
        <f>IF(D155-D140=0,0,"Error")</f>
        <v>0</v>
      </c>
      <c r="E156" s="1075">
        <f>IF(E155-E140=0,0,"Error")</f>
        <v>0</v>
      </c>
    </row>
    <row r="157" spans="1:5" ht="15.75" thickBot="1" x14ac:dyDescent="0.3">
      <c r="A157" s="3013" t="s">
        <v>67</v>
      </c>
      <c r="B157" s="3014"/>
      <c r="C157" s="3014"/>
      <c r="D157" s="3014"/>
      <c r="E157" s="3015"/>
    </row>
    <row r="158" spans="1:5" ht="15.75" thickBot="1" x14ac:dyDescent="0.3">
      <c r="A158" s="3000" t="s">
        <v>99</v>
      </c>
      <c r="B158" s="3001"/>
      <c r="C158" s="3001"/>
      <c r="D158" s="3001"/>
      <c r="E158" s="3002"/>
    </row>
    <row r="159" spans="1:5" x14ac:dyDescent="0.25">
      <c r="A159" s="2974"/>
      <c r="B159" s="828">
        <v>2018</v>
      </c>
      <c r="C159" s="828">
        <v>2019</v>
      </c>
      <c r="D159" s="828">
        <v>2020</v>
      </c>
      <c r="E159" s="828">
        <v>2021</v>
      </c>
    </row>
    <row r="160" spans="1:5" ht="15.75" thickBot="1" x14ac:dyDescent="0.3">
      <c r="A160" s="2975"/>
      <c r="B160" s="828" t="s">
        <v>6</v>
      </c>
      <c r="C160" s="828" t="s">
        <v>7</v>
      </c>
      <c r="D160" s="828" t="s">
        <v>7</v>
      </c>
      <c r="E160" s="828" t="s">
        <v>7</v>
      </c>
    </row>
    <row r="161" spans="1:5" ht="15.75" thickBot="1" x14ac:dyDescent="0.3">
      <c r="A161" s="1077" t="s">
        <v>896</v>
      </c>
      <c r="B161" s="3003" t="s">
        <v>906</v>
      </c>
      <c r="C161" s="3004"/>
      <c r="D161" s="3004"/>
      <c r="E161" s="3004"/>
    </row>
    <row r="162" spans="1:5" x14ac:dyDescent="0.25">
      <c r="A162" s="3005" t="s">
        <v>10</v>
      </c>
      <c r="B162" s="3007" t="s">
        <v>907</v>
      </c>
      <c r="C162" s="3007"/>
      <c r="D162" s="3007"/>
      <c r="E162" s="3007"/>
    </row>
    <row r="163" spans="1:5" x14ac:dyDescent="0.25">
      <c r="A163" s="3006"/>
      <c r="B163" s="3007"/>
      <c r="C163" s="3007"/>
      <c r="D163" s="3007"/>
      <c r="E163" s="3007"/>
    </row>
    <row r="164" spans="1:5" x14ac:dyDescent="0.25">
      <c r="A164" s="1159" t="s">
        <v>13</v>
      </c>
      <c r="B164" s="3008" t="s">
        <v>908</v>
      </c>
      <c r="C164" s="3009"/>
      <c r="D164" s="3009"/>
      <c r="E164" s="3010"/>
    </row>
    <row r="165" spans="1:5" x14ac:dyDescent="0.25">
      <c r="A165" s="3023"/>
      <c r="B165" s="828">
        <v>2018</v>
      </c>
      <c r="C165" s="828">
        <v>2019</v>
      </c>
      <c r="D165" s="828">
        <v>2020</v>
      </c>
      <c r="E165" s="828">
        <v>2021</v>
      </c>
    </row>
    <row r="166" spans="1:5" ht="15.75" thickBot="1" x14ac:dyDescent="0.3">
      <c r="A166" s="2975"/>
      <c r="B166" s="827" t="s">
        <v>6</v>
      </c>
      <c r="C166" s="827" t="s">
        <v>7</v>
      </c>
      <c r="D166" s="827" t="s">
        <v>7</v>
      </c>
      <c r="E166" s="827" t="s">
        <v>7</v>
      </c>
    </row>
    <row r="167" spans="1:5" ht="15.75" thickBot="1" x14ac:dyDescent="0.3">
      <c r="A167" s="1158" t="s">
        <v>9</v>
      </c>
      <c r="B167" s="1069">
        <v>20</v>
      </c>
      <c r="C167" s="814">
        <v>22</v>
      </c>
      <c r="D167" s="814">
        <v>24</v>
      </c>
      <c r="E167" s="814">
        <v>25</v>
      </c>
    </row>
    <row r="168" spans="1:5" ht="15.75" thickBot="1" x14ac:dyDescent="0.3">
      <c r="A168" s="1158" t="s">
        <v>14</v>
      </c>
      <c r="B168" s="1069">
        <v>12000</v>
      </c>
      <c r="C168" s="1069">
        <v>14000</v>
      </c>
      <c r="D168" s="1069">
        <v>16000</v>
      </c>
      <c r="E168" s="1069">
        <v>17000</v>
      </c>
    </row>
    <row r="169" spans="1:5" ht="15.75" thickBot="1" x14ac:dyDescent="0.3">
      <c r="A169" s="1158" t="s">
        <v>23</v>
      </c>
      <c r="B169" s="1073">
        <f>B168/B167</f>
        <v>600</v>
      </c>
      <c r="C169" s="1073">
        <f>C168/C167</f>
        <v>636.36363636363637</v>
      </c>
      <c r="D169" s="1073">
        <f>D168/D167</f>
        <v>666.66666666666663</v>
      </c>
      <c r="E169" s="1073">
        <f>E168/E167</f>
        <v>680</v>
      </c>
    </row>
    <row r="170" spans="1:5" ht="15.75" thickBot="1" x14ac:dyDescent="0.3">
      <c r="A170" s="1158" t="s">
        <v>15</v>
      </c>
      <c r="B170" s="1152"/>
      <c r="C170" s="1070">
        <f t="shared" ref="C170:E172" si="5">C167/B167-1</f>
        <v>0.10000000000000009</v>
      </c>
      <c r="D170" s="1070">
        <f t="shared" si="5"/>
        <v>9.0909090909090828E-2</v>
      </c>
      <c r="E170" s="1070">
        <f t="shared" si="5"/>
        <v>4.1666666666666741E-2</v>
      </c>
    </row>
    <row r="171" spans="1:5" ht="15.75" thickBot="1" x14ac:dyDescent="0.3">
      <c r="A171" s="1158" t="s">
        <v>16</v>
      </c>
      <c r="B171" s="1152"/>
      <c r="C171" s="1070">
        <f t="shared" si="5"/>
        <v>0.16666666666666674</v>
      </c>
      <c r="D171" s="1070">
        <f t="shared" si="5"/>
        <v>0.14285714285714279</v>
      </c>
      <c r="E171" s="1070">
        <f t="shared" si="5"/>
        <v>6.25E-2</v>
      </c>
    </row>
    <row r="172" spans="1:5" ht="15.75" thickBot="1" x14ac:dyDescent="0.3">
      <c r="A172" s="1158" t="s">
        <v>17</v>
      </c>
      <c r="B172" s="1152"/>
      <c r="C172" s="1070">
        <f t="shared" si="5"/>
        <v>6.0606060606060552E-2</v>
      </c>
      <c r="D172" s="1070">
        <f t="shared" si="5"/>
        <v>4.761904761904745E-2</v>
      </c>
      <c r="E172" s="1070">
        <f t="shared" si="5"/>
        <v>2.0000000000000018E-2</v>
      </c>
    </row>
    <row r="173" spans="1:5" ht="15.75" thickBot="1" x14ac:dyDescent="0.3">
      <c r="A173" s="2976" t="s">
        <v>895</v>
      </c>
      <c r="B173" s="2977"/>
      <c r="C173" s="2977"/>
      <c r="D173" s="2977"/>
      <c r="E173" s="2978"/>
    </row>
    <row r="174" spans="1:5" x14ac:dyDescent="0.25">
      <c r="A174" s="2974"/>
      <c r="B174" s="828">
        <v>2018</v>
      </c>
      <c r="C174" s="828">
        <v>2019</v>
      </c>
      <c r="D174" s="828">
        <v>2020</v>
      </c>
      <c r="E174" s="828">
        <v>2021</v>
      </c>
    </row>
    <row r="175" spans="1:5" ht="15.75" thickBot="1" x14ac:dyDescent="0.3">
      <c r="A175" s="2975"/>
      <c r="B175" s="827" t="s">
        <v>6</v>
      </c>
      <c r="C175" s="827" t="s">
        <v>7</v>
      </c>
      <c r="D175" s="827" t="s">
        <v>7</v>
      </c>
      <c r="E175" s="827" t="s">
        <v>7</v>
      </c>
    </row>
    <row r="176" spans="1:5" ht="15.75" thickBot="1" x14ac:dyDescent="0.3">
      <c r="A176" s="981" t="s">
        <v>0</v>
      </c>
      <c r="B176" s="818"/>
      <c r="C176" s="818"/>
      <c r="D176" s="818"/>
      <c r="E176" s="818"/>
    </row>
    <row r="177" spans="1:5" ht="15.75" thickBot="1" x14ac:dyDescent="0.3">
      <c r="A177" s="981" t="s">
        <v>49</v>
      </c>
      <c r="B177" s="818"/>
      <c r="C177" s="818"/>
      <c r="D177" s="818"/>
      <c r="E177" s="818"/>
    </row>
    <row r="178" spans="1:5" ht="15.75" thickBot="1" x14ac:dyDescent="0.3">
      <c r="A178" s="981" t="s">
        <v>1</v>
      </c>
      <c r="B178" s="805"/>
      <c r="C178" s="818"/>
      <c r="D178" s="818"/>
      <c r="E178" s="818"/>
    </row>
    <row r="179" spans="1:5" ht="15.75" thickBot="1" x14ac:dyDescent="0.3">
      <c r="A179" s="981" t="s">
        <v>2</v>
      </c>
      <c r="B179" s="805"/>
      <c r="C179" s="818"/>
      <c r="D179" s="818"/>
      <c r="E179" s="818"/>
    </row>
    <row r="180" spans="1:5" ht="15.75" thickBot="1" x14ac:dyDescent="0.3">
      <c r="A180" s="981" t="s">
        <v>28</v>
      </c>
      <c r="B180" s="805">
        <f>B168</f>
        <v>12000</v>
      </c>
      <c r="C180" s="818">
        <f>C168</f>
        <v>14000</v>
      </c>
      <c r="D180" s="818">
        <f>D168</f>
        <v>16000</v>
      </c>
      <c r="E180" s="818">
        <f>E168</f>
        <v>17000</v>
      </c>
    </row>
    <row r="181" spans="1:5" ht="15.75" thickBot="1" x14ac:dyDescent="0.3">
      <c r="A181" s="981" t="s">
        <v>30</v>
      </c>
      <c r="B181" s="805"/>
      <c r="C181" s="818"/>
      <c r="D181" s="818"/>
      <c r="E181" s="818"/>
    </row>
    <row r="182" spans="1:5" ht="15.75" thickBot="1" x14ac:dyDescent="0.3">
      <c r="A182" s="981" t="s">
        <v>3</v>
      </c>
      <c r="B182" s="805"/>
      <c r="C182" s="818"/>
      <c r="D182" s="818"/>
      <c r="E182" s="818"/>
    </row>
    <row r="183" spans="1:5" ht="15.75" thickBot="1" x14ac:dyDescent="0.3">
      <c r="A183" s="1074" t="s">
        <v>71</v>
      </c>
      <c r="B183" s="805">
        <f>B182+B181+B180+B179+B178+B177+B176</f>
        <v>12000</v>
      </c>
      <c r="C183" s="805">
        <f>C182+C181+C180+C179+C178+C177+C176</f>
        <v>14000</v>
      </c>
      <c r="D183" s="805">
        <f>D182+D181+D180+D179+D178+D177+D176</f>
        <v>16000</v>
      </c>
      <c r="E183" s="805">
        <f>E182+E181+E180+E179+E178+E177+E176</f>
        <v>17000</v>
      </c>
    </row>
    <row r="184" spans="1:5" ht="15.75" thickBot="1" x14ac:dyDescent="0.3">
      <c r="A184" s="1071" t="s">
        <v>70</v>
      </c>
      <c r="B184" s="1075">
        <f>IF(B183-B168=0,0,"Error")</f>
        <v>0</v>
      </c>
      <c r="C184" s="1075">
        <f>IF(C183-C168=0,0,"Error")</f>
        <v>0</v>
      </c>
      <c r="D184" s="1075">
        <f>IF(D183-D168=0,0,"Error")</f>
        <v>0</v>
      </c>
      <c r="E184" s="1075">
        <f>IF(E183-E168=0,0,"Error")</f>
        <v>0</v>
      </c>
    </row>
    <row r="185" spans="1:5" ht="15.75" thickBot="1" x14ac:dyDescent="0.3">
      <c r="A185" s="2979" t="s">
        <v>536</v>
      </c>
      <c r="B185" s="2980"/>
      <c r="C185" s="2980"/>
      <c r="D185" s="2980"/>
      <c r="E185" s="2981"/>
    </row>
    <row r="186" spans="1:5" ht="15.75" thickBot="1" x14ac:dyDescent="0.3">
      <c r="A186" s="1066" t="s">
        <v>909</v>
      </c>
      <c r="B186" s="3024" t="s">
        <v>910</v>
      </c>
      <c r="C186" s="3025"/>
      <c r="D186" s="3025"/>
      <c r="E186" s="3025"/>
    </row>
    <row r="187" spans="1:5" ht="15.75" thickBot="1" x14ac:dyDescent="0.3">
      <c r="A187" s="1158" t="s">
        <v>10</v>
      </c>
      <c r="B187" s="3026" t="s">
        <v>911</v>
      </c>
      <c r="C187" s="3027"/>
      <c r="D187" s="3027"/>
      <c r="E187" s="3028"/>
    </row>
    <row r="188" spans="1:5" ht="15.75" thickBot="1" x14ac:dyDescent="0.3">
      <c r="A188" s="1158" t="s">
        <v>13</v>
      </c>
      <c r="B188" s="3016" t="s">
        <v>912</v>
      </c>
      <c r="C188" s="3017"/>
      <c r="D188" s="3017"/>
      <c r="E188" s="3018"/>
    </row>
    <row r="189" spans="1:5" x14ac:dyDescent="0.25">
      <c r="A189" s="2974"/>
      <c r="B189" s="828">
        <v>2018</v>
      </c>
      <c r="C189" s="828">
        <v>2019</v>
      </c>
      <c r="D189" s="828">
        <v>2020</v>
      </c>
      <c r="E189" s="828">
        <v>2021</v>
      </c>
    </row>
    <row r="190" spans="1:5" ht="15.75" thickBot="1" x14ac:dyDescent="0.3">
      <c r="A190" s="2975"/>
      <c r="B190" s="827" t="s">
        <v>6</v>
      </c>
      <c r="C190" s="827" t="s">
        <v>7</v>
      </c>
      <c r="D190" s="827" t="s">
        <v>7</v>
      </c>
      <c r="E190" s="827" t="s">
        <v>7</v>
      </c>
    </row>
    <row r="191" spans="1:5" ht="15.75" thickBot="1" x14ac:dyDescent="0.3">
      <c r="A191" s="1158" t="s">
        <v>9</v>
      </c>
      <c r="B191" s="1072">
        <v>30</v>
      </c>
      <c r="C191" s="1072">
        <v>30</v>
      </c>
      <c r="D191" s="1072">
        <v>30</v>
      </c>
      <c r="E191" s="1072">
        <v>30</v>
      </c>
    </row>
    <row r="192" spans="1:5" ht="15.75" thickBot="1" x14ac:dyDescent="0.3">
      <c r="A192" s="1158" t="s">
        <v>14</v>
      </c>
      <c r="B192" s="1069">
        <v>51200</v>
      </c>
      <c r="C192" s="1069">
        <v>61200</v>
      </c>
      <c r="D192" s="1069">
        <v>73900</v>
      </c>
      <c r="E192" s="1069">
        <v>74400</v>
      </c>
    </row>
    <row r="193" spans="1:5" ht="15.75" thickBot="1" x14ac:dyDescent="0.3">
      <c r="A193" s="1158" t="s">
        <v>23</v>
      </c>
      <c r="B193" s="1073">
        <f>B192/B191</f>
        <v>1706.6666666666667</v>
      </c>
      <c r="C193" s="1073">
        <f>C192/C191</f>
        <v>2040</v>
      </c>
      <c r="D193" s="1073">
        <f>D192/D191</f>
        <v>2463.3333333333335</v>
      </c>
      <c r="E193" s="1073">
        <f>E192/E191</f>
        <v>2480</v>
      </c>
    </row>
    <row r="194" spans="1:5" ht="15.75" thickBot="1" x14ac:dyDescent="0.3">
      <c r="A194" s="1158" t="s">
        <v>15</v>
      </c>
      <c r="B194" s="1152"/>
      <c r="C194" s="1070">
        <f t="shared" ref="C194:E196" si="6">C191/B191-1</f>
        <v>0</v>
      </c>
      <c r="D194" s="1070">
        <f t="shared" si="6"/>
        <v>0</v>
      </c>
      <c r="E194" s="1070">
        <f t="shared" si="6"/>
        <v>0</v>
      </c>
    </row>
    <row r="195" spans="1:5" ht="15.75" thickBot="1" x14ac:dyDescent="0.3">
      <c r="A195" s="1158" t="s">
        <v>16</v>
      </c>
      <c r="B195" s="1152"/>
      <c r="C195" s="1070">
        <f t="shared" si="6"/>
        <v>0.1953125</v>
      </c>
      <c r="D195" s="1070">
        <f t="shared" si="6"/>
        <v>0.20751633986928097</v>
      </c>
      <c r="E195" s="1070">
        <f t="shared" si="6"/>
        <v>6.7658998646820123E-3</v>
      </c>
    </row>
    <row r="196" spans="1:5" ht="15.75" thickBot="1" x14ac:dyDescent="0.3">
      <c r="A196" s="1158" t="s">
        <v>17</v>
      </c>
      <c r="B196" s="1152"/>
      <c r="C196" s="1070">
        <f t="shared" si="6"/>
        <v>0.1953125</v>
      </c>
      <c r="D196" s="1070">
        <f t="shared" si="6"/>
        <v>0.2075163398692812</v>
      </c>
      <c r="E196" s="1070">
        <f t="shared" si="6"/>
        <v>6.7658998646820123E-3</v>
      </c>
    </row>
    <row r="197" spans="1:5" ht="15.75" thickBot="1" x14ac:dyDescent="0.3">
      <c r="A197" s="2976" t="s">
        <v>895</v>
      </c>
      <c r="B197" s="2977"/>
      <c r="C197" s="2977"/>
      <c r="D197" s="2977"/>
      <c r="E197" s="2978"/>
    </row>
    <row r="198" spans="1:5" x14ac:dyDescent="0.25">
      <c r="A198" s="2974"/>
      <c r="B198" s="828">
        <v>2018</v>
      </c>
      <c r="C198" s="828">
        <v>2019</v>
      </c>
      <c r="D198" s="828">
        <v>2020</v>
      </c>
      <c r="E198" s="828">
        <v>2021</v>
      </c>
    </row>
    <row r="199" spans="1:5" ht="15.75" thickBot="1" x14ac:dyDescent="0.3">
      <c r="A199" s="2975"/>
      <c r="B199" s="827" t="s">
        <v>6</v>
      </c>
      <c r="C199" s="827" t="s">
        <v>7</v>
      </c>
      <c r="D199" s="827" t="s">
        <v>7</v>
      </c>
      <c r="E199" s="827" t="s">
        <v>7</v>
      </c>
    </row>
    <row r="200" spans="1:5" ht="15.75" thickBot="1" x14ac:dyDescent="0.3">
      <c r="A200" s="981" t="s">
        <v>0</v>
      </c>
      <c r="B200" s="818">
        <v>27000</v>
      </c>
      <c r="C200" s="818">
        <v>27000</v>
      </c>
      <c r="D200" s="818">
        <v>27000</v>
      </c>
      <c r="E200" s="818">
        <v>27000</v>
      </c>
    </row>
    <row r="201" spans="1:5" ht="15.75" thickBot="1" x14ac:dyDescent="0.3">
      <c r="A201" s="981" t="s">
        <v>49</v>
      </c>
      <c r="B201" s="818">
        <v>5000</v>
      </c>
      <c r="C201" s="818">
        <v>5000</v>
      </c>
      <c r="D201" s="818">
        <v>5000</v>
      </c>
      <c r="E201" s="818">
        <v>5000</v>
      </c>
    </row>
    <row r="202" spans="1:5" ht="15.75" thickBot="1" x14ac:dyDescent="0.3">
      <c r="A202" s="981" t="s">
        <v>1</v>
      </c>
      <c r="B202" s="805">
        <v>14000</v>
      </c>
      <c r="C202" s="805">
        <v>24000</v>
      </c>
      <c r="D202" s="805">
        <v>24000</v>
      </c>
      <c r="E202" s="805">
        <v>24000</v>
      </c>
    </row>
    <row r="203" spans="1:5" ht="15.75" thickBot="1" x14ac:dyDescent="0.3">
      <c r="A203" s="981" t="s">
        <v>2</v>
      </c>
      <c r="B203" s="805"/>
      <c r="C203" s="818"/>
      <c r="D203" s="818"/>
      <c r="E203" s="818"/>
    </row>
    <row r="204" spans="1:5" ht="15.75" thickBot="1" x14ac:dyDescent="0.3">
      <c r="A204" s="981" t="s">
        <v>28</v>
      </c>
      <c r="B204" s="794">
        <v>0</v>
      </c>
      <c r="C204" s="814">
        <v>0</v>
      </c>
      <c r="D204" s="814">
        <v>12700</v>
      </c>
      <c r="E204" s="814">
        <v>13200</v>
      </c>
    </row>
    <row r="205" spans="1:5" ht="15.75" thickBot="1" x14ac:dyDescent="0.3">
      <c r="A205" s="981" t="s">
        <v>30</v>
      </c>
      <c r="B205" s="805">
        <v>5200</v>
      </c>
      <c r="C205" s="805">
        <v>5200</v>
      </c>
      <c r="D205" s="805">
        <v>5200</v>
      </c>
      <c r="E205" s="805">
        <v>5200</v>
      </c>
    </row>
    <row r="206" spans="1:5" ht="15.75" thickBot="1" x14ac:dyDescent="0.3">
      <c r="A206" s="981" t="s">
        <v>3</v>
      </c>
      <c r="B206" s="805"/>
      <c r="C206" s="818"/>
      <c r="D206" s="818"/>
      <c r="E206" s="818"/>
    </row>
    <row r="207" spans="1:5" ht="15.75" thickBot="1" x14ac:dyDescent="0.3">
      <c r="A207" s="1074" t="s">
        <v>71</v>
      </c>
      <c r="B207" s="805">
        <f>B206+B205+B204+B203+B202+B201+B200</f>
        <v>51200</v>
      </c>
      <c r="C207" s="805">
        <f>C206+C205+C204+C203+C202+C201+C200</f>
        <v>61200</v>
      </c>
      <c r="D207" s="805">
        <f>D206+D205+D204+D203+D202+D201+D200</f>
        <v>73900</v>
      </c>
      <c r="E207" s="805">
        <f>E206+E205+E204+E203+E202+E201+E200</f>
        <v>74400</v>
      </c>
    </row>
    <row r="208" spans="1:5" ht="15.75" thickBot="1" x14ac:dyDescent="0.3">
      <c r="A208" s="1071" t="s">
        <v>70</v>
      </c>
      <c r="B208" s="801">
        <f>B192-B207</f>
        <v>0</v>
      </c>
      <c r="C208" s="801">
        <f>C192-C207</f>
        <v>0</v>
      </c>
      <c r="D208" s="801">
        <f>D192-D207</f>
        <v>0</v>
      </c>
      <c r="E208" s="801">
        <f>E192-E207</f>
        <v>0</v>
      </c>
    </row>
    <row r="209" spans="1:5" x14ac:dyDescent="0.25">
      <c r="A209" s="3019" t="s">
        <v>536</v>
      </c>
      <c r="B209" s="3020"/>
      <c r="C209" s="3020"/>
      <c r="D209" s="3020"/>
      <c r="E209" s="3021"/>
    </row>
    <row r="210" spans="1:5" ht="28.15" customHeight="1" x14ac:dyDescent="0.25">
      <c r="A210" s="1079" t="s">
        <v>45</v>
      </c>
      <c r="B210" s="3022" t="s">
        <v>913</v>
      </c>
      <c r="C210" s="3022"/>
      <c r="D210" s="3022"/>
      <c r="E210" s="3022"/>
    </row>
    <row r="211" spans="1:5" x14ac:dyDescent="0.25">
      <c r="A211" s="3033" t="s">
        <v>10</v>
      </c>
      <c r="B211" s="3034" t="s">
        <v>914</v>
      </c>
      <c r="C211" s="3034"/>
      <c r="D211" s="3034"/>
      <c r="E211" s="3034"/>
    </row>
    <row r="212" spans="1:5" ht="18" customHeight="1" x14ac:dyDescent="0.25">
      <c r="A212" s="3033"/>
      <c r="B212" s="3034"/>
      <c r="C212" s="3034"/>
      <c r="D212" s="3034"/>
      <c r="E212" s="3034"/>
    </row>
    <row r="213" spans="1:5" x14ac:dyDescent="0.25">
      <c r="A213" s="1159" t="s">
        <v>13</v>
      </c>
      <c r="B213" s="2994" t="s">
        <v>915</v>
      </c>
      <c r="C213" s="2994"/>
      <c r="D213" s="2994"/>
      <c r="E213" s="2994"/>
    </row>
    <row r="214" spans="1:5" x14ac:dyDescent="0.25">
      <c r="A214" s="3035"/>
      <c r="B214" s="1080">
        <v>2018</v>
      </c>
      <c r="C214" s="1080">
        <v>2019</v>
      </c>
      <c r="D214" s="1080">
        <v>2020</v>
      </c>
      <c r="E214" s="1080">
        <v>2021</v>
      </c>
    </row>
    <row r="215" spans="1:5" ht="15.75" thickBot="1" x14ac:dyDescent="0.3">
      <c r="A215" s="3036"/>
      <c r="B215" s="881" t="s">
        <v>6</v>
      </c>
      <c r="C215" s="881" t="s">
        <v>7</v>
      </c>
      <c r="D215" s="881" t="s">
        <v>7</v>
      </c>
      <c r="E215" s="881" t="s">
        <v>7</v>
      </c>
    </row>
    <row r="216" spans="1:5" ht="15.75" thickBot="1" x14ac:dyDescent="0.3">
      <c r="A216" s="1158" t="s">
        <v>9</v>
      </c>
      <c r="B216" s="827">
        <v>732</v>
      </c>
      <c r="C216" s="827">
        <v>732</v>
      </c>
      <c r="D216" s="827">
        <v>732</v>
      </c>
      <c r="E216" s="827">
        <v>732</v>
      </c>
    </row>
    <row r="217" spans="1:5" ht="15.75" thickBot="1" x14ac:dyDescent="0.3">
      <c r="A217" s="1158" t="s">
        <v>14</v>
      </c>
      <c r="B217" s="1073">
        <v>5500</v>
      </c>
      <c r="C217" s="1073">
        <v>5800</v>
      </c>
      <c r="D217" s="1073">
        <v>5900</v>
      </c>
      <c r="E217" s="1073">
        <v>6200</v>
      </c>
    </row>
    <row r="218" spans="1:5" ht="15.75" thickBot="1" x14ac:dyDescent="0.3">
      <c r="A218" s="1158" t="s">
        <v>23</v>
      </c>
      <c r="B218" s="1073">
        <f>B217/B216</f>
        <v>7.5136612021857925</v>
      </c>
      <c r="C218" s="1073">
        <f>C217/C216</f>
        <v>7.9234972677595632</v>
      </c>
      <c r="D218" s="1073">
        <f>D217/D216</f>
        <v>8.0601092896174862</v>
      </c>
      <c r="E218" s="1073">
        <f>E217/E216</f>
        <v>8.4699453551912569</v>
      </c>
    </row>
    <row r="219" spans="1:5" ht="15.75" thickBot="1" x14ac:dyDescent="0.3">
      <c r="A219" s="1158" t="s">
        <v>15</v>
      </c>
      <c r="B219" s="1152"/>
      <c r="C219" s="1070">
        <f>C216/C216-1</f>
        <v>0</v>
      </c>
      <c r="D219" s="1070">
        <f>D216/D216-1</f>
        <v>0</v>
      </c>
      <c r="E219" s="1070">
        <f>E216/E216-1</f>
        <v>0</v>
      </c>
    </row>
    <row r="220" spans="1:5" ht="15.75" thickBot="1" x14ac:dyDescent="0.3">
      <c r="A220" s="1158" t="s">
        <v>16</v>
      </c>
      <c r="B220" s="1152"/>
      <c r="C220" s="1070">
        <f t="shared" ref="C220:E221" si="7">C217/B217-1</f>
        <v>5.4545454545454453E-2</v>
      </c>
      <c r="D220" s="1070">
        <f t="shared" si="7"/>
        <v>1.7241379310344751E-2</v>
      </c>
      <c r="E220" s="1070">
        <f t="shared" si="7"/>
        <v>5.0847457627118731E-2</v>
      </c>
    </row>
    <row r="221" spans="1:5" ht="15.75" thickBot="1" x14ac:dyDescent="0.3">
      <c r="A221" s="1158" t="s">
        <v>17</v>
      </c>
      <c r="B221" s="1152"/>
      <c r="C221" s="1070">
        <f t="shared" si="7"/>
        <v>5.4545454545454675E-2</v>
      </c>
      <c r="D221" s="1070">
        <f t="shared" si="7"/>
        <v>1.7241379310344751E-2</v>
      </c>
      <c r="E221" s="1070">
        <f t="shared" si="7"/>
        <v>5.0847457627118731E-2</v>
      </c>
    </row>
    <row r="222" spans="1:5" ht="15.75" thickBot="1" x14ac:dyDescent="0.3">
      <c r="A222" s="2976" t="s">
        <v>895</v>
      </c>
      <c r="B222" s="2977"/>
      <c r="C222" s="2977"/>
      <c r="D222" s="2977"/>
      <c r="E222" s="2978"/>
    </row>
    <row r="223" spans="1:5" x14ac:dyDescent="0.25">
      <c r="A223" s="2974"/>
      <c r="B223" s="828">
        <v>2018</v>
      </c>
      <c r="C223" s="828">
        <v>2019</v>
      </c>
      <c r="D223" s="828">
        <v>2020</v>
      </c>
      <c r="E223" s="828">
        <v>2021</v>
      </c>
    </row>
    <row r="224" spans="1:5" ht="15.75" thickBot="1" x14ac:dyDescent="0.3">
      <c r="A224" s="2975"/>
      <c r="B224" s="827" t="s">
        <v>6</v>
      </c>
      <c r="C224" s="827" t="s">
        <v>7</v>
      </c>
      <c r="D224" s="827" t="s">
        <v>7</v>
      </c>
      <c r="E224" s="827" t="s">
        <v>7</v>
      </c>
    </row>
    <row r="225" spans="1:5" ht="15.75" thickBot="1" x14ac:dyDescent="0.3">
      <c r="A225" s="981" t="s">
        <v>0</v>
      </c>
      <c r="B225" s="818"/>
      <c r="C225" s="818"/>
      <c r="D225" s="818"/>
      <c r="E225" s="818"/>
    </row>
    <row r="226" spans="1:5" ht="15.75" thickBot="1" x14ac:dyDescent="0.3">
      <c r="A226" s="981" t="s">
        <v>49</v>
      </c>
      <c r="B226" s="818"/>
      <c r="C226" s="818"/>
      <c r="D226" s="818"/>
      <c r="E226" s="818"/>
    </row>
    <row r="227" spans="1:5" ht="15.75" thickBot="1" x14ac:dyDescent="0.3">
      <c r="A227" s="981" t="s">
        <v>1</v>
      </c>
      <c r="B227" s="805"/>
      <c r="C227" s="818"/>
      <c r="D227" s="818"/>
      <c r="E227" s="818"/>
    </row>
    <row r="228" spans="1:5" ht="15.75" thickBot="1" x14ac:dyDescent="0.3">
      <c r="A228" s="981" t="s">
        <v>2</v>
      </c>
      <c r="B228" s="805"/>
      <c r="C228" s="818"/>
      <c r="D228" s="818"/>
      <c r="E228" s="818"/>
    </row>
    <row r="229" spans="1:5" ht="15.75" thickBot="1" x14ac:dyDescent="0.3">
      <c r="A229" s="981" t="s">
        <v>28</v>
      </c>
      <c r="B229" s="805">
        <f>B217</f>
        <v>5500</v>
      </c>
      <c r="C229" s="818">
        <f>C217</f>
        <v>5800</v>
      </c>
      <c r="D229" s="818">
        <f>D217</f>
        <v>5900</v>
      </c>
      <c r="E229" s="818">
        <f>E217</f>
        <v>6200</v>
      </c>
    </row>
    <row r="230" spans="1:5" ht="15.75" thickBot="1" x14ac:dyDescent="0.3">
      <c r="A230" s="981" t="s">
        <v>30</v>
      </c>
      <c r="B230" s="805"/>
      <c r="C230" s="818"/>
      <c r="D230" s="818"/>
      <c r="E230" s="818"/>
    </row>
    <row r="231" spans="1:5" ht="15.75" thickBot="1" x14ac:dyDescent="0.3">
      <c r="A231" s="981" t="s">
        <v>3</v>
      </c>
      <c r="B231" s="805"/>
      <c r="C231" s="818"/>
      <c r="D231" s="818"/>
      <c r="E231" s="818"/>
    </row>
    <row r="232" spans="1:5" ht="15.75" thickBot="1" x14ac:dyDescent="0.3">
      <c r="A232" s="1074" t="s">
        <v>71</v>
      </c>
      <c r="B232" s="805">
        <f>B231+B230+B229+B228+B227+B226+B225</f>
        <v>5500</v>
      </c>
      <c r="C232" s="805">
        <f>C231+C230+C229+C228+C227+C226+C225</f>
        <v>5800</v>
      </c>
      <c r="D232" s="805">
        <f>D231+D230+D229+D228+D227+D226+D225</f>
        <v>5900</v>
      </c>
      <c r="E232" s="805">
        <f>E231+E230+E229+E228+E227+E226+E225</f>
        <v>6200</v>
      </c>
    </row>
    <row r="233" spans="1:5" ht="15.75" thickBot="1" x14ac:dyDescent="0.3">
      <c r="A233" s="1071" t="s">
        <v>70</v>
      </c>
      <c r="B233" s="801">
        <f>IF(B232-B217=0,0,"Error")</f>
        <v>0</v>
      </c>
      <c r="C233" s="801">
        <f>IF(C232-C217=0,0,"Error")</f>
        <v>0</v>
      </c>
      <c r="D233" s="801">
        <f>IF(D232-D217=0,0,"Error")</f>
        <v>0</v>
      </c>
      <c r="E233" s="801">
        <f>IF(E232-E217=0,0,"Error")</f>
        <v>0</v>
      </c>
    </row>
    <row r="234" spans="1:5" ht="15.75" thickBot="1" x14ac:dyDescent="0.3">
      <c r="A234" s="2979" t="s">
        <v>535</v>
      </c>
      <c r="B234" s="2980"/>
      <c r="C234" s="2980"/>
      <c r="D234" s="2980"/>
      <c r="E234" s="2981"/>
    </row>
    <row r="235" spans="1:5" ht="15.75" thickBot="1" x14ac:dyDescent="0.3">
      <c r="A235" s="2979" t="s">
        <v>121</v>
      </c>
      <c r="B235" s="2980"/>
      <c r="C235" s="2980"/>
      <c r="D235" s="2980"/>
      <c r="E235" s="2981"/>
    </row>
    <row r="236" spans="1:5" ht="15.75" thickBot="1" x14ac:dyDescent="0.3">
      <c r="A236" s="1066" t="s">
        <v>45</v>
      </c>
      <c r="B236" s="2552" t="s">
        <v>916</v>
      </c>
      <c r="C236" s="2553"/>
      <c r="D236" s="2553"/>
      <c r="E236" s="2554"/>
    </row>
    <row r="237" spans="1:5" ht="29.45" customHeight="1" thickBot="1" x14ac:dyDescent="0.3">
      <c r="A237" s="1158" t="s">
        <v>10</v>
      </c>
      <c r="B237" s="3029" t="s">
        <v>917</v>
      </c>
      <c r="C237" s="3030"/>
      <c r="D237" s="3030"/>
      <c r="E237" s="3031"/>
    </row>
    <row r="238" spans="1:5" ht="15.75" thickBot="1" x14ac:dyDescent="0.3">
      <c r="A238" s="1067" t="s">
        <v>13</v>
      </c>
      <c r="B238" s="3032" t="s">
        <v>918</v>
      </c>
      <c r="C238" s="2541"/>
      <c r="D238" s="2541"/>
      <c r="E238" s="2542"/>
    </row>
    <row r="239" spans="1:5" x14ac:dyDescent="0.25">
      <c r="A239" s="2974"/>
      <c r="B239" s="828">
        <v>2018</v>
      </c>
      <c r="C239" s="828">
        <v>2019</v>
      </c>
      <c r="D239" s="828">
        <v>2020</v>
      </c>
      <c r="E239" s="828">
        <v>2021</v>
      </c>
    </row>
    <row r="240" spans="1:5" ht="15.75" thickBot="1" x14ac:dyDescent="0.3">
      <c r="A240" s="2975"/>
      <c r="B240" s="827" t="s">
        <v>6</v>
      </c>
      <c r="C240" s="827" t="s">
        <v>7</v>
      </c>
      <c r="D240" s="827" t="s">
        <v>7</v>
      </c>
      <c r="E240" s="827" t="s">
        <v>7</v>
      </c>
    </row>
    <row r="241" spans="1:5" ht="15.75" thickBot="1" x14ac:dyDescent="0.3">
      <c r="A241" s="1158" t="s">
        <v>9</v>
      </c>
      <c r="B241" s="1069">
        <v>600</v>
      </c>
      <c r="C241" s="1069">
        <v>700</v>
      </c>
      <c r="D241" s="1069">
        <v>800</v>
      </c>
      <c r="E241" s="1069">
        <v>900</v>
      </c>
    </row>
    <row r="242" spans="1:5" ht="15.75" thickBot="1" x14ac:dyDescent="0.3">
      <c r="A242" s="1158" t="s">
        <v>14</v>
      </c>
      <c r="B242" s="1073">
        <v>1000</v>
      </c>
      <c r="C242" s="1073">
        <v>1200</v>
      </c>
      <c r="D242" s="1073">
        <v>1400</v>
      </c>
      <c r="E242" s="1073">
        <v>1800</v>
      </c>
    </row>
    <row r="243" spans="1:5" ht="15.75" thickBot="1" x14ac:dyDescent="0.3">
      <c r="A243" s="1158" t="s">
        <v>23</v>
      </c>
      <c r="B243" s="1081">
        <f>B242/B241</f>
        <v>1.6666666666666667</v>
      </c>
      <c r="C243" s="1081">
        <f>C242/C241</f>
        <v>1.7142857142857142</v>
      </c>
      <c r="D243" s="1081">
        <f>D242/D241</f>
        <v>1.75</v>
      </c>
      <c r="E243" s="1081">
        <f>E242/E241</f>
        <v>2</v>
      </c>
    </row>
    <row r="244" spans="1:5" ht="15.75" thickBot="1" x14ac:dyDescent="0.3">
      <c r="A244" s="1158" t="s">
        <v>15</v>
      </c>
      <c r="B244" s="1152" t="s">
        <v>21</v>
      </c>
      <c r="C244" s="1070">
        <f t="shared" ref="C244:E246" si="8">C241/B241-1</f>
        <v>0.16666666666666674</v>
      </c>
      <c r="D244" s="1070">
        <f t="shared" si="8"/>
        <v>0.14285714285714279</v>
      </c>
      <c r="E244" s="1070">
        <f t="shared" si="8"/>
        <v>0.125</v>
      </c>
    </row>
    <row r="245" spans="1:5" ht="15.75" thickBot="1" x14ac:dyDescent="0.3">
      <c r="A245" s="1158" t="s">
        <v>16</v>
      </c>
      <c r="B245" s="1152" t="s">
        <v>21</v>
      </c>
      <c r="C245" s="1070">
        <f t="shared" si="8"/>
        <v>0.19999999999999996</v>
      </c>
      <c r="D245" s="1070">
        <f t="shared" si="8"/>
        <v>0.16666666666666674</v>
      </c>
      <c r="E245" s="1070">
        <f t="shared" si="8"/>
        <v>0.28571428571428581</v>
      </c>
    </row>
    <row r="246" spans="1:5" ht="15.75" thickBot="1" x14ac:dyDescent="0.3">
      <c r="A246" s="1158" t="s">
        <v>17</v>
      </c>
      <c r="B246" s="1152" t="s">
        <v>21</v>
      </c>
      <c r="C246" s="1070">
        <f t="shared" si="8"/>
        <v>2.857142857142847E-2</v>
      </c>
      <c r="D246" s="1070">
        <f t="shared" si="8"/>
        <v>2.0833333333333481E-2</v>
      </c>
      <c r="E246" s="1070">
        <f t="shared" si="8"/>
        <v>0.14285714285714279</v>
      </c>
    </row>
    <row r="247" spans="1:5" ht="15.75" thickBot="1" x14ac:dyDescent="0.3">
      <c r="A247" s="2976" t="s">
        <v>707</v>
      </c>
      <c r="B247" s="2977"/>
      <c r="C247" s="2977"/>
      <c r="D247" s="2977"/>
      <c r="E247" s="2978"/>
    </row>
    <row r="248" spans="1:5" x14ac:dyDescent="0.25">
      <c r="A248" s="2974"/>
      <c r="B248" s="828">
        <v>2018</v>
      </c>
      <c r="C248" s="828">
        <v>2019</v>
      </c>
      <c r="D248" s="828">
        <v>2020</v>
      </c>
      <c r="E248" s="828">
        <v>2021</v>
      </c>
    </row>
    <row r="249" spans="1:5" ht="15.75" thickBot="1" x14ac:dyDescent="0.3">
      <c r="A249" s="2975"/>
      <c r="B249" s="827" t="s">
        <v>6</v>
      </c>
      <c r="C249" s="827" t="s">
        <v>7</v>
      </c>
      <c r="D249" s="827" t="s">
        <v>7</v>
      </c>
      <c r="E249" s="827" t="s">
        <v>7</v>
      </c>
    </row>
    <row r="250" spans="1:5" ht="15.75" thickBot="1" x14ac:dyDescent="0.3">
      <c r="A250" s="981" t="s">
        <v>0</v>
      </c>
      <c r="B250" s="818"/>
      <c r="C250" s="818"/>
      <c r="D250" s="818"/>
      <c r="E250" s="818"/>
    </row>
    <row r="251" spans="1:5" ht="15.75" thickBot="1" x14ac:dyDescent="0.3">
      <c r="A251" s="981" t="s">
        <v>49</v>
      </c>
      <c r="B251" s="818"/>
      <c r="C251" s="818"/>
      <c r="D251" s="818"/>
      <c r="E251" s="818"/>
    </row>
    <row r="252" spans="1:5" ht="15.75" thickBot="1" x14ac:dyDescent="0.3">
      <c r="A252" s="981" t="s">
        <v>1</v>
      </c>
      <c r="B252" s="805"/>
      <c r="C252" s="818"/>
      <c r="D252" s="818"/>
      <c r="E252" s="818"/>
    </row>
    <row r="253" spans="1:5" ht="15.75" thickBot="1" x14ac:dyDescent="0.3">
      <c r="A253" s="981" t="s">
        <v>2</v>
      </c>
      <c r="B253" s="805"/>
      <c r="C253" s="818"/>
      <c r="D253" s="818"/>
      <c r="E253" s="818"/>
    </row>
    <row r="254" spans="1:5" ht="15.75" thickBot="1" x14ac:dyDescent="0.3">
      <c r="A254" s="981" t="s">
        <v>28</v>
      </c>
      <c r="B254" s="794">
        <f>B242</f>
        <v>1000</v>
      </c>
      <c r="C254" s="794">
        <f>C242</f>
        <v>1200</v>
      </c>
      <c r="D254" s="794">
        <f>D242</f>
        <v>1400</v>
      </c>
      <c r="E254" s="794">
        <f>E242</f>
        <v>1800</v>
      </c>
    </row>
    <row r="255" spans="1:5" ht="15.75" thickBot="1" x14ac:dyDescent="0.3">
      <c r="A255" s="981" t="s">
        <v>30</v>
      </c>
      <c r="B255" s="805"/>
      <c r="C255" s="818"/>
      <c r="D255" s="818"/>
      <c r="E255" s="818"/>
    </row>
    <row r="256" spans="1:5" ht="15.75" thickBot="1" x14ac:dyDescent="0.3">
      <c r="A256" s="981" t="s">
        <v>3</v>
      </c>
      <c r="B256" s="805"/>
      <c r="C256" s="818"/>
      <c r="D256" s="818"/>
      <c r="E256" s="818"/>
    </row>
    <row r="257" spans="1:5" ht="15.75" thickBot="1" x14ac:dyDescent="0.3">
      <c r="A257" s="980" t="s">
        <v>68</v>
      </c>
      <c r="B257" s="805">
        <f>B256+B255+B254+B253+B252+B251+B250</f>
        <v>1000</v>
      </c>
      <c r="C257" s="805">
        <f>C256+C255+C254+C253+C252+C251+C250</f>
        <v>1200</v>
      </c>
      <c r="D257" s="805">
        <f>D256+D255+D254+D253+D252+D251+D250</f>
        <v>1400</v>
      </c>
      <c r="E257" s="805">
        <f>E256+E255+E254+E253+E252+E251+E250</f>
        <v>1800</v>
      </c>
    </row>
    <row r="258" spans="1:5" ht="15.75" thickBot="1" x14ac:dyDescent="0.3">
      <c r="A258" s="1071" t="s">
        <v>70</v>
      </c>
      <c r="B258" s="801">
        <f>B257-B242</f>
        <v>0</v>
      </c>
      <c r="C258" s="801">
        <f>C257-C242</f>
        <v>0</v>
      </c>
      <c r="D258" s="801">
        <f>D257-D242</f>
        <v>0</v>
      </c>
      <c r="E258" s="801">
        <f>E257-E242</f>
        <v>0</v>
      </c>
    </row>
    <row r="259" spans="1:5" ht="15.75" thickBot="1" x14ac:dyDescent="0.3">
      <c r="A259" s="2979" t="s">
        <v>535</v>
      </c>
      <c r="B259" s="2980"/>
      <c r="C259" s="2980"/>
      <c r="D259" s="2980"/>
      <c r="E259" s="2981"/>
    </row>
    <row r="260" spans="1:5" ht="15.75" thickBot="1" x14ac:dyDescent="0.3">
      <c r="A260" s="1066" t="s">
        <v>892</v>
      </c>
      <c r="B260" s="2552" t="s">
        <v>919</v>
      </c>
      <c r="C260" s="2553"/>
      <c r="D260" s="2553"/>
      <c r="E260" s="2554"/>
    </row>
    <row r="261" spans="1:5" ht="15.75" thickBot="1" x14ac:dyDescent="0.3">
      <c r="A261" s="1158" t="s">
        <v>10</v>
      </c>
      <c r="B261" s="3040" t="s">
        <v>920</v>
      </c>
      <c r="C261" s="3041"/>
      <c r="D261" s="3041"/>
      <c r="E261" s="3042"/>
    </row>
    <row r="262" spans="1:5" ht="15.75" thickBot="1" x14ac:dyDescent="0.3">
      <c r="A262" s="1067" t="s">
        <v>13</v>
      </c>
      <c r="B262" s="2564" t="s">
        <v>921</v>
      </c>
      <c r="C262" s="2565"/>
      <c r="D262" s="2565"/>
      <c r="E262" s="2566"/>
    </row>
    <row r="263" spans="1:5" x14ac:dyDescent="0.25">
      <c r="A263" s="2974"/>
      <c r="B263" s="828">
        <v>2018</v>
      </c>
      <c r="C263" s="828">
        <v>2019</v>
      </c>
      <c r="D263" s="828">
        <v>2020</v>
      </c>
      <c r="E263" s="828">
        <v>2021</v>
      </c>
    </row>
    <row r="264" spans="1:5" ht="15.75" thickBot="1" x14ac:dyDescent="0.3">
      <c r="A264" s="2975"/>
      <c r="B264" s="827" t="s">
        <v>6</v>
      </c>
      <c r="C264" s="827" t="s">
        <v>7</v>
      </c>
      <c r="D264" s="827" t="s">
        <v>7</v>
      </c>
      <c r="E264" s="827" t="s">
        <v>7</v>
      </c>
    </row>
    <row r="265" spans="1:5" ht="15.75" thickBot="1" x14ac:dyDescent="0.3">
      <c r="A265" s="1158" t="s">
        <v>9</v>
      </c>
      <c r="B265" s="1069">
        <v>5</v>
      </c>
      <c r="C265" s="1069">
        <v>5</v>
      </c>
      <c r="D265" s="1069">
        <v>5</v>
      </c>
      <c r="E265" s="1069">
        <v>5</v>
      </c>
    </row>
    <row r="266" spans="1:5" ht="15.75" thickBot="1" x14ac:dyDescent="0.3">
      <c r="A266" s="1158" t="s">
        <v>14</v>
      </c>
      <c r="B266" s="1073">
        <v>500</v>
      </c>
      <c r="C266" s="1073">
        <v>500</v>
      </c>
      <c r="D266" s="1073">
        <v>500</v>
      </c>
      <c r="E266" s="1073">
        <v>500</v>
      </c>
    </row>
    <row r="267" spans="1:5" ht="15.75" thickBot="1" x14ac:dyDescent="0.3">
      <c r="A267" s="1158" t="s">
        <v>23</v>
      </c>
      <c r="B267" s="1073">
        <f>B266/B265</f>
        <v>100</v>
      </c>
      <c r="C267" s="1073">
        <f>C266/C265</f>
        <v>100</v>
      </c>
      <c r="D267" s="1073">
        <f>D266/D265</f>
        <v>100</v>
      </c>
      <c r="E267" s="1073">
        <f>E266/E265</f>
        <v>100</v>
      </c>
    </row>
    <row r="268" spans="1:5" ht="15.75" thickBot="1" x14ac:dyDescent="0.3">
      <c r="A268" s="1158" t="s">
        <v>15</v>
      </c>
      <c r="B268" s="1152" t="s">
        <v>21</v>
      </c>
      <c r="C268" s="1070">
        <f t="shared" ref="C268:E270" si="9">C265/B265-1</f>
        <v>0</v>
      </c>
      <c r="D268" s="1070">
        <f t="shared" si="9"/>
        <v>0</v>
      </c>
      <c r="E268" s="1070">
        <f t="shared" si="9"/>
        <v>0</v>
      </c>
    </row>
    <row r="269" spans="1:5" ht="15.75" thickBot="1" x14ac:dyDescent="0.3">
      <c r="A269" s="1158" t="s">
        <v>16</v>
      </c>
      <c r="B269" s="1152" t="s">
        <v>21</v>
      </c>
      <c r="C269" s="1070">
        <f t="shared" si="9"/>
        <v>0</v>
      </c>
      <c r="D269" s="1070">
        <f t="shared" si="9"/>
        <v>0</v>
      </c>
      <c r="E269" s="1070">
        <f t="shared" si="9"/>
        <v>0</v>
      </c>
    </row>
    <row r="270" spans="1:5" ht="15.75" thickBot="1" x14ac:dyDescent="0.3">
      <c r="A270" s="1158" t="s">
        <v>17</v>
      </c>
      <c r="B270" s="1152" t="s">
        <v>21</v>
      </c>
      <c r="C270" s="1070">
        <f t="shared" si="9"/>
        <v>0</v>
      </c>
      <c r="D270" s="1070">
        <f t="shared" si="9"/>
        <v>0</v>
      </c>
      <c r="E270" s="1070">
        <f t="shared" si="9"/>
        <v>0</v>
      </c>
    </row>
    <row r="271" spans="1:5" ht="15.75" thickBot="1" x14ac:dyDescent="0.3">
      <c r="A271" s="2976" t="s">
        <v>729</v>
      </c>
      <c r="B271" s="2977"/>
      <c r="C271" s="2977"/>
      <c r="D271" s="2977"/>
      <c r="E271" s="2978"/>
    </row>
    <row r="272" spans="1:5" x14ac:dyDescent="0.25">
      <c r="A272" s="2974"/>
      <c r="B272" s="828">
        <v>2018</v>
      </c>
      <c r="C272" s="828">
        <v>2019</v>
      </c>
      <c r="D272" s="828">
        <v>2020</v>
      </c>
      <c r="E272" s="828">
        <v>2021</v>
      </c>
    </row>
    <row r="273" spans="1:5" ht="15.75" thickBot="1" x14ac:dyDescent="0.3">
      <c r="A273" s="2975"/>
      <c r="B273" s="827" t="s">
        <v>6</v>
      </c>
      <c r="C273" s="827" t="s">
        <v>7</v>
      </c>
      <c r="D273" s="827" t="s">
        <v>7</v>
      </c>
      <c r="E273" s="827" t="s">
        <v>7</v>
      </c>
    </row>
    <row r="274" spans="1:5" ht="15.75" thickBot="1" x14ac:dyDescent="0.3">
      <c r="A274" s="981" t="s">
        <v>0</v>
      </c>
      <c r="B274" s="818"/>
      <c r="C274" s="818"/>
      <c r="D274" s="818"/>
      <c r="E274" s="818"/>
    </row>
    <row r="275" spans="1:5" ht="15.75" thickBot="1" x14ac:dyDescent="0.3">
      <c r="A275" s="981" t="s">
        <v>49</v>
      </c>
      <c r="B275" s="818"/>
      <c r="C275" s="818"/>
      <c r="D275" s="818"/>
      <c r="E275" s="818"/>
    </row>
    <row r="276" spans="1:5" ht="15.75" thickBot="1" x14ac:dyDescent="0.3">
      <c r="A276" s="981" t="s">
        <v>1</v>
      </c>
      <c r="B276" s="805"/>
      <c r="C276" s="818"/>
      <c r="D276" s="818"/>
      <c r="E276" s="818"/>
    </row>
    <row r="277" spans="1:5" ht="15.75" thickBot="1" x14ac:dyDescent="0.3">
      <c r="A277" s="981" t="s">
        <v>2</v>
      </c>
      <c r="B277" s="805"/>
      <c r="C277" s="818"/>
      <c r="D277" s="818"/>
      <c r="E277" s="818"/>
    </row>
    <row r="278" spans="1:5" ht="15.75" thickBot="1" x14ac:dyDescent="0.3">
      <c r="A278" s="981" t="s">
        <v>28</v>
      </c>
      <c r="B278" s="794">
        <f>B266</f>
        <v>500</v>
      </c>
      <c r="C278" s="794">
        <f>C266</f>
        <v>500</v>
      </c>
      <c r="D278" s="794">
        <f>D266</f>
        <v>500</v>
      </c>
      <c r="E278" s="794">
        <f>E266</f>
        <v>500</v>
      </c>
    </row>
    <row r="279" spans="1:5" ht="15.75" thickBot="1" x14ac:dyDescent="0.3">
      <c r="A279" s="981" t="s">
        <v>30</v>
      </c>
      <c r="B279" s="805"/>
      <c r="C279" s="818"/>
      <c r="D279" s="818"/>
      <c r="E279" s="818"/>
    </row>
    <row r="280" spans="1:5" ht="15.75" thickBot="1" x14ac:dyDescent="0.3">
      <c r="A280" s="981" t="s">
        <v>3</v>
      </c>
      <c r="B280" s="805"/>
      <c r="C280" s="818"/>
      <c r="D280" s="818"/>
      <c r="E280" s="818"/>
    </row>
    <row r="281" spans="1:5" ht="15.75" thickBot="1" x14ac:dyDescent="0.3">
      <c r="A281" s="980" t="s">
        <v>68</v>
      </c>
      <c r="B281" s="805">
        <f>B280+B279+B278+B277+B276+B275+B274</f>
        <v>500</v>
      </c>
      <c r="C281" s="805">
        <f>C280+C279+C278+C277+C276+C275+C274</f>
        <v>500</v>
      </c>
      <c r="D281" s="805">
        <f>D280+D279+D278+D277+D276+D275+D274</f>
        <v>500</v>
      </c>
      <c r="E281" s="805">
        <f>E280+E279+E278+E277+E276+E275+E274</f>
        <v>500</v>
      </c>
    </row>
    <row r="282" spans="1:5" ht="15.75" thickBot="1" x14ac:dyDescent="0.3">
      <c r="A282" s="1071" t="s">
        <v>70</v>
      </c>
      <c r="B282" s="801">
        <f>B281-B266</f>
        <v>0</v>
      </c>
      <c r="C282" s="801">
        <f>C281-C266</f>
        <v>0</v>
      </c>
      <c r="D282" s="801">
        <f>D281-D266</f>
        <v>0</v>
      </c>
      <c r="E282" s="801">
        <f>E281-E266</f>
        <v>0</v>
      </c>
    </row>
    <row r="283" spans="1:5" ht="15.75" thickBot="1" x14ac:dyDescent="0.3">
      <c r="A283" s="2979" t="s">
        <v>535</v>
      </c>
      <c r="B283" s="2980"/>
      <c r="C283" s="2980"/>
      <c r="D283" s="2980"/>
      <c r="E283" s="2981"/>
    </row>
    <row r="284" spans="1:5" ht="15.75" thickBot="1" x14ac:dyDescent="0.3">
      <c r="A284" s="1066" t="s">
        <v>896</v>
      </c>
      <c r="B284" s="2552" t="s">
        <v>922</v>
      </c>
      <c r="C284" s="2553"/>
      <c r="D284" s="2553"/>
      <c r="E284" s="2554"/>
    </row>
    <row r="285" spans="1:5" ht="15.75" thickBot="1" x14ac:dyDescent="0.3">
      <c r="A285" s="1158" t="s">
        <v>10</v>
      </c>
      <c r="B285" s="3037" t="s">
        <v>923</v>
      </c>
      <c r="C285" s="3038"/>
      <c r="D285" s="3038"/>
      <c r="E285" s="3039"/>
    </row>
    <row r="286" spans="1:5" ht="15.75" thickBot="1" x14ac:dyDescent="0.3">
      <c r="A286" s="1067" t="s">
        <v>13</v>
      </c>
      <c r="B286" s="2564" t="s">
        <v>924</v>
      </c>
      <c r="C286" s="2565"/>
      <c r="D286" s="2565"/>
      <c r="E286" s="2566"/>
    </row>
    <row r="287" spans="1:5" x14ac:dyDescent="0.25">
      <c r="A287" s="2974"/>
      <c r="B287" s="828">
        <v>2018</v>
      </c>
      <c r="C287" s="828">
        <v>2019</v>
      </c>
      <c r="D287" s="828">
        <v>2020</v>
      </c>
      <c r="E287" s="828">
        <v>2021</v>
      </c>
    </row>
    <row r="288" spans="1:5" ht="15.75" thickBot="1" x14ac:dyDescent="0.3">
      <c r="A288" s="2975"/>
      <c r="B288" s="827" t="s">
        <v>6</v>
      </c>
      <c r="C288" s="827" t="s">
        <v>7</v>
      </c>
      <c r="D288" s="827" t="s">
        <v>7</v>
      </c>
      <c r="E288" s="827" t="s">
        <v>7</v>
      </c>
    </row>
    <row r="289" spans="1:5" ht="15.75" thickBot="1" x14ac:dyDescent="0.3">
      <c r="A289" s="1158" t="s">
        <v>9</v>
      </c>
      <c r="B289" s="1069">
        <v>1</v>
      </c>
      <c r="C289" s="1069">
        <v>1</v>
      </c>
      <c r="D289" s="1069">
        <v>1</v>
      </c>
      <c r="E289" s="1069">
        <v>1</v>
      </c>
    </row>
    <row r="290" spans="1:5" ht="15.75" thickBot="1" x14ac:dyDescent="0.3">
      <c r="A290" s="1158" t="s">
        <v>14</v>
      </c>
      <c r="B290" s="1073">
        <v>100</v>
      </c>
      <c r="C290" s="1073">
        <v>100</v>
      </c>
      <c r="D290" s="1073">
        <v>100</v>
      </c>
      <c r="E290" s="1073">
        <v>100</v>
      </c>
    </row>
    <row r="291" spans="1:5" ht="15.75" thickBot="1" x14ac:dyDescent="0.3">
      <c r="A291" s="1158" t="s">
        <v>23</v>
      </c>
      <c r="B291" s="1073">
        <f>B290/B289</f>
        <v>100</v>
      </c>
      <c r="C291" s="1073">
        <f>C290/C289</f>
        <v>100</v>
      </c>
      <c r="D291" s="1073">
        <f>D290/D289</f>
        <v>100</v>
      </c>
      <c r="E291" s="1073">
        <f>E290/E289</f>
        <v>100</v>
      </c>
    </row>
    <row r="292" spans="1:5" ht="15.75" thickBot="1" x14ac:dyDescent="0.3">
      <c r="A292" s="1158" t="s">
        <v>15</v>
      </c>
      <c r="B292" s="1152" t="s">
        <v>21</v>
      </c>
      <c r="C292" s="1070">
        <f t="shared" ref="C292:E294" si="10">C289/B289-1</f>
        <v>0</v>
      </c>
      <c r="D292" s="1070">
        <f t="shared" si="10"/>
        <v>0</v>
      </c>
      <c r="E292" s="1070">
        <f t="shared" si="10"/>
        <v>0</v>
      </c>
    </row>
    <row r="293" spans="1:5" ht="15.75" thickBot="1" x14ac:dyDescent="0.3">
      <c r="A293" s="1158" t="s">
        <v>16</v>
      </c>
      <c r="B293" s="1152" t="s">
        <v>21</v>
      </c>
      <c r="C293" s="1070">
        <f t="shared" si="10"/>
        <v>0</v>
      </c>
      <c r="D293" s="1070">
        <f t="shared" si="10"/>
        <v>0</v>
      </c>
      <c r="E293" s="1070">
        <f t="shared" si="10"/>
        <v>0</v>
      </c>
    </row>
    <row r="294" spans="1:5" ht="15.75" thickBot="1" x14ac:dyDescent="0.3">
      <c r="A294" s="1158" t="s">
        <v>17</v>
      </c>
      <c r="B294" s="1152" t="s">
        <v>21</v>
      </c>
      <c r="C294" s="1070">
        <f t="shared" si="10"/>
        <v>0</v>
      </c>
      <c r="D294" s="1070">
        <f t="shared" si="10"/>
        <v>0</v>
      </c>
      <c r="E294" s="1070">
        <f t="shared" si="10"/>
        <v>0</v>
      </c>
    </row>
    <row r="295" spans="1:5" ht="15.75" thickBot="1" x14ac:dyDescent="0.3">
      <c r="A295" s="2976" t="s">
        <v>724</v>
      </c>
      <c r="B295" s="2977"/>
      <c r="C295" s="2977"/>
      <c r="D295" s="2977"/>
      <c r="E295" s="2978"/>
    </row>
    <row r="296" spans="1:5" x14ac:dyDescent="0.25">
      <c r="A296" s="2974"/>
      <c r="B296" s="828">
        <v>2018</v>
      </c>
      <c r="C296" s="828">
        <v>2019</v>
      </c>
      <c r="D296" s="828">
        <v>2020</v>
      </c>
      <c r="E296" s="828">
        <v>2021</v>
      </c>
    </row>
    <row r="297" spans="1:5" ht="15.75" thickBot="1" x14ac:dyDescent="0.3">
      <c r="A297" s="2975"/>
      <c r="B297" s="827" t="s">
        <v>6</v>
      </c>
      <c r="C297" s="827" t="s">
        <v>7</v>
      </c>
      <c r="D297" s="827" t="s">
        <v>7</v>
      </c>
      <c r="E297" s="827" t="s">
        <v>7</v>
      </c>
    </row>
    <row r="298" spans="1:5" ht="15.75" thickBot="1" x14ac:dyDescent="0.3">
      <c r="A298" s="981" t="s">
        <v>0</v>
      </c>
      <c r="B298" s="818"/>
      <c r="C298" s="818"/>
      <c r="D298" s="818"/>
      <c r="E298" s="818"/>
    </row>
    <row r="299" spans="1:5" ht="15.75" thickBot="1" x14ac:dyDescent="0.3">
      <c r="A299" s="981" t="s">
        <v>49</v>
      </c>
      <c r="B299" s="818"/>
      <c r="C299" s="818"/>
      <c r="D299" s="818"/>
      <c r="E299" s="818"/>
    </row>
    <row r="300" spans="1:5" ht="15.75" thickBot="1" x14ac:dyDescent="0.3">
      <c r="A300" s="981" t="s">
        <v>1</v>
      </c>
      <c r="B300" s="805">
        <f>B290</f>
        <v>100</v>
      </c>
      <c r="C300" s="805">
        <f>C290</f>
        <v>100</v>
      </c>
      <c r="D300" s="805">
        <f>D290</f>
        <v>100</v>
      </c>
      <c r="E300" s="805">
        <f>E290</f>
        <v>100</v>
      </c>
    </row>
    <row r="301" spans="1:5" ht="15.75" thickBot="1" x14ac:dyDescent="0.3">
      <c r="A301" s="981" t="s">
        <v>2</v>
      </c>
      <c r="B301" s="805"/>
      <c r="C301" s="818"/>
      <c r="D301" s="818"/>
      <c r="E301" s="818"/>
    </row>
    <row r="302" spans="1:5" ht="15.75" thickBot="1" x14ac:dyDescent="0.3">
      <c r="A302" s="981" t="s">
        <v>28</v>
      </c>
      <c r="B302" s="794"/>
      <c r="C302" s="794"/>
      <c r="D302" s="794"/>
      <c r="E302" s="794"/>
    </row>
    <row r="303" spans="1:5" ht="15.75" thickBot="1" x14ac:dyDescent="0.3">
      <c r="A303" s="981" t="s">
        <v>30</v>
      </c>
      <c r="B303" s="805"/>
      <c r="C303" s="818"/>
      <c r="D303" s="818"/>
      <c r="E303" s="818"/>
    </row>
    <row r="304" spans="1:5" ht="15.75" thickBot="1" x14ac:dyDescent="0.3">
      <c r="A304" s="981" t="s">
        <v>3</v>
      </c>
      <c r="B304" s="805"/>
      <c r="C304" s="818"/>
      <c r="D304" s="818"/>
      <c r="E304" s="818"/>
    </row>
    <row r="305" spans="1:5" ht="15.75" thickBot="1" x14ac:dyDescent="0.3">
      <c r="A305" s="980" t="s">
        <v>925</v>
      </c>
      <c r="B305" s="805">
        <f>B300</f>
        <v>100</v>
      </c>
      <c r="C305" s="805">
        <f>C300</f>
        <v>100</v>
      </c>
      <c r="D305" s="805">
        <f>D300</f>
        <v>100</v>
      </c>
      <c r="E305" s="805">
        <f>E300</f>
        <v>100</v>
      </c>
    </row>
    <row r="306" spans="1:5" ht="15.75" thickBot="1" x14ac:dyDescent="0.3">
      <c r="A306" s="1071" t="s">
        <v>70</v>
      </c>
      <c r="B306" s="801">
        <f>B305-B300</f>
        <v>0</v>
      </c>
      <c r="C306" s="801">
        <f>C305-C300</f>
        <v>0</v>
      </c>
      <c r="D306" s="801">
        <f>D305-D300</f>
        <v>0</v>
      </c>
      <c r="E306" s="801">
        <f>E305-E300</f>
        <v>0</v>
      </c>
    </row>
    <row r="307" spans="1:5" ht="15.75" thickBot="1" x14ac:dyDescent="0.3">
      <c r="A307" s="2979" t="s">
        <v>535</v>
      </c>
      <c r="B307" s="2980"/>
      <c r="C307" s="2980"/>
      <c r="D307" s="2980"/>
      <c r="E307" s="2981"/>
    </row>
    <row r="308" spans="1:5" ht="15.75" thickBot="1" x14ac:dyDescent="0.3">
      <c r="A308" s="1066" t="s">
        <v>909</v>
      </c>
      <c r="B308" s="2552" t="s">
        <v>926</v>
      </c>
      <c r="C308" s="2553"/>
      <c r="D308" s="2553"/>
      <c r="E308" s="2554"/>
    </row>
    <row r="309" spans="1:5" ht="15.75" thickBot="1" x14ac:dyDescent="0.3">
      <c r="A309" s="1158" t="s">
        <v>10</v>
      </c>
      <c r="B309" s="3037" t="s">
        <v>927</v>
      </c>
      <c r="C309" s="3038"/>
      <c r="D309" s="3038"/>
      <c r="E309" s="3039"/>
    </row>
    <row r="310" spans="1:5" ht="15.75" thickBot="1" x14ac:dyDescent="0.3">
      <c r="A310" s="1067" t="s">
        <v>13</v>
      </c>
      <c r="B310" s="2564" t="s">
        <v>928</v>
      </c>
      <c r="C310" s="2565"/>
      <c r="D310" s="2565"/>
      <c r="E310" s="2566"/>
    </row>
    <row r="311" spans="1:5" x14ac:dyDescent="0.25">
      <c r="A311" s="2974"/>
      <c r="B311" s="828">
        <v>2018</v>
      </c>
      <c r="C311" s="828">
        <v>2019</v>
      </c>
      <c r="D311" s="828">
        <v>2020</v>
      </c>
      <c r="E311" s="828">
        <v>2021</v>
      </c>
    </row>
    <row r="312" spans="1:5" ht="15.75" thickBot="1" x14ac:dyDescent="0.3">
      <c r="A312" s="2975"/>
      <c r="B312" s="827" t="s">
        <v>6</v>
      </c>
      <c r="C312" s="827" t="s">
        <v>7</v>
      </c>
      <c r="D312" s="827" t="s">
        <v>7</v>
      </c>
      <c r="E312" s="827" t="s">
        <v>7</v>
      </c>
    </row>
    <row r="313" spans="1:5" ht="15.75" thickBot="1" x14ac:dyDescent="0.3">
      <c r="A313" s="1158" t="s">
        <v>9</v>
      </c>
      <c r="B313" s="1069">
        <v>5</v>
      </c>
      <c r="C313" s="1069">
        <v>8</v>
      </c>
      <c r="D313" s="1069">
        <v>10</v>
      </c>
      <c r="E313" s="1069">
        <v>10</v>
      </c>
    </row>
    <row r="314" spans="1:5" ht="15.75" thickBot="1" x14ac:dyDescent="0.3">
      <c r="A314" s="1158" t="s">
        <v>14</v>
      </c>
      <c r="B314" s="1073">
        <v>500</v>
      </c>
      <c r="C314" s="1073">
        <v>800</v>
      </c>
      <c r="D314" s="1073">
        <v>1000</v>
      </c>
      <c r="E314" s="1073">
        <v>1000</v>
      </c>
    </row>
    <row r="315" spans="1:5" ht="15.75" thickBot="1" x14ac:dyDescent="0.3">
      <c r="A315" s="1158" t="s">
        <v>23</v>
      </c>
      <c r="B315" s="1073">
        <f>B314/B313</f>
        <v>100</v>
      </c>
      <c r="C315" s="1073">
        <f>C314/C313</f>
        <v>100</v>
      </c>
      <c r="D315" s="1073">
        <f>D314/D313</f>
        <v>100</v>
      </c>
      <c r="E315" s="1073">
        <f>E314/E313</f>
        <v>100</v>
      </c>
    </row>
    <row r="316" spans="1:5" ht="15.75" thickBot="1" x14ac:dyDescent="0.3">
      <c r="A316" s="1158" t="s">
        <v>15</v>
      </c>
      <c r="B316" s="1152" t="s">
        <v>21</v>
      </c>
      <c r="C316" s="1070">
        <f t="shared" ref="C316:E318" si="11">C313/B313-1</f>
        <v>0.60000000000000009</v>
      </c>
      <c r="D316" s="1070">
        <f t="shared" si="11"/>
        <v>0.25</v>
      </c>
      <c r="E316" s="1070">
        <f t="shared" si="11"/>
        <v>0</v>
      </c>
    </row>
    <row r="317" spans="1:5" ht="15.75" thickBot="1" x14ac:dyDescent="0.3">
      <c r="A317" s="1158" t="s">
        <v>16</v>
      </c>
      <c r="B317" s="1152" t="s">
        <v>21</v>
      </c>
      <c r="C317" s="1070">
        <f t="shared" si="11"/>
        <v>0.60000000000000009</v>
      </c>
      <c r="D317" s="1070">
        <f t="shared" si="11"/>
        <v>0.25</v>
      </c>
      <c r="E317" s="1070">
        <f t="shared" si="11"/>
        <v>0</v>
      </c>
    </row>
    <row r="318" spans="1:5" ht="15.75" thickBot="1" x14ac:dyDescent="0.3">
      <c r="A318" s="1158" t="s">
        <v>17</v>
      </c>
      <c r="B318" s="1152" t="s">
        <v>21</v>
      </c>
      <c r="C318" s="1070">
        <f t="shared" si="11"/>
        <v>0</v>
      </c>
      <c r="D318" s="1070">
        <f t="shared" si="11"/>
        <v>0</v>
      </c>
      <c r="E318" s="1070">
        <f t="shared" si="11"/>
        <v>0</v>
      </c>
    </row>
    <row r="319" spans="1:5" ht="15.75" thickBot="1" x14ac:dyDescent="0.3">
      <c r="A319" s="2976" t="s">
        <v>929</v>
      </c>
      <c r="B319" s="2977"/>
      <c r="C319" s="2977"/>
      <c r="D319" s="2977"/>
      <c r="E319" s="2978"/>
    </row>
    <row r="320" spans="1:5" x14ac:dyDescent="0.25">
      <c r="A320" s="2974"/>
      <c r="B320" s="828">
        <v>2018</v>
      </c>
      <c r="C320" s="828">
        <v>2019</v>
      </c>
      <c r="D320" s="828">
        <v>2020</v>
      </c>
      <c r="E320" s="828">
        <v>2021</v>
      </c>
    </row>
    <row r="321" spans="1:5" ht="15.75" thickBot="1" x14ac:dyDescent="0.3">
      <c r="A321" s="2975"/>
      <c r="B321" s="827" t="s">
        <v>6</v>
      </c>
      <c r="C321" s="827" t="s">
        <v>7</v>
      </c>
      <c r="D321" s="827" t="s">
        <v>7</v>
      </c>
      <c r="E321" s="827" t="s">
        <v>7</v>
      </c>
    </row>
    <row r="322" spans="1:5" ht="15.75" thickBot="1" x14ac:dyDescent="0.3">
      <c r="A322" s="981" t="s">
        <v>0</v>
      </c>
      <c r="B322" s="818"/>
      <c r="C322" s="818"/>
      <c r="D322" s="818"/>
      <c r="E322" s="818"/>
    </row>
    <row r="323" spans="1:5" ht="15.75" thickBot="1" x14ac:dyDescent="0.3">
      <c r="A323" s="981" t="s">
        <v>49</v>
      </c>
      <c r="B323" s="818"/>
      <c r="C323" s="818"/>
      <c r="D323" s="818"/>
      <c r="E323" s="818"/>
    </row>
    <row r="324" spans="1:5" ht="15.75" thickBot="1" x14ac:dyDescent="0.3">
      <c r="A324" s="981" t="s">
        <v>1</v>
      </c>
      <c r="B324" s="805"/>
      <c r="C324" s="818"/>
      <c r="D324" s="818"/>
      <c r="E324" s="818"/>
    </row>
    <row r="325" spans="1:5" ht="15.75" thickBot="1" x14ac:dyDescent="0.3">
      <c r="A325" s="981" t="s">
        <v>2</v>
      </c>
      <c r="B325" s="805"/>
      <c r="C325" s="818"/>
      <c r="D325" s="818"/>
      <c r="E325" s="818"/>
    </row>
    <row r="326" spans="1:5" ht="15.75" thickBot="1" x14ac:dyDescent="0.3">
      <c r="A326" s="981" t="s">
        <v>28</v>
      </c>
      <c r="B326" s="794">
        <f>B314</f>
        <v>500</v>
      </c>
      <c r="C326" s="794">
        <f>C314</f>
        <v>800</v>
      </c>
      <c r="D326" s="794">
        <f>D314</f>
        <v>1000</v>
      </c>
      <c r="E326" s="794">
        <f>E314</f>
        <v>1000</v>
      </c>
    </row>
    <row r="327" spans="1:5" ht="15.75" thickBot="1" x14ac:dyDescent="0.3">
      <c r="A327" s="981" t="s">
        <v>30</v>
      </c>
      <c r="B327" s="805"/>
      <c r="C327" s="818"/>
      <c r="D327" s="818"/>
      <c r="E327" s="818"/>
    </row>
    <row r="328" spans="1:5" ht="15.75" thickBot="1" x14ac:dyDescent="0.3">
      <c r="A328" s="981" t="s">
        <v>3</v>
      </c>
      <c r="B328" s="805"/>
      <c r="C328" s="818"/>
      <c r="D328" s="818"/>
      <c r="E328" s="818"/>
    </row>
    <row r="329" spans="1:5" ht="15.75" thickBot="1" x14ac:dyDescent="0.3">
      <c r="A329" s="980" t="s">
        <v>748</v>
      </c>
      <c r="B329" s="805">
        <f>B326</f>
        <v>500</v>
      </c>
      <c r="C329" s="805">
        <f>C326</f>
        <v>800</v>
      </c>
      <c r="D329" s="805">
        <f>D326</f>
        <v>1000</v>
      </c>
      <c r="E329" s="805">
        <f>E326</f>
        <v>1000</v>
      </c>
    </row>
    <row r="330" spans="1:5" ht="15.75" thickBot="1" x14ac:dyDescent="0.3">
      <c r="A330" s="1071" t="s">
        <v>70</v>
      </c>
      <c r="B330" s="801">
        <f>B329-B314</f>
        <v>0</v>
      </c>
      <c r="C330" s="801">
        <f>C329-C314</f>
        <v>0</v>
      </c>
      <c r="D330" s="801">
        <f>D329-D314</f>
        <v>0</v>
      </c>
      <c r="E330" s="801">
        <f>E329-E314</f>
        <v>0</v>
      </c>
    </row>
    <row r="331" spans="1:5" ht="15.75" thickBot="1" x14ac:dyDescent="0.3">
      <c r="A331" s="2979" t="s">
        <v>535</v>
      </c>
      <c r="B331" s="2980"/>
      <c r="C331" s="2980"/>
      <c r="D331" s="2980"/>
      <c r="E331" s="2981"/>
    </row>
    <row r="332" spans="1:5" ht="15.75" thickBot="1" x14ac:dyDescent="0.3">
      <c r="A332" s="1066" t="s">
        <v>930</v>
      </c>
      <c r="B332" s="2552" t="s">
        <v>931</v>
      </c>
      <c r="C332" s="2553"/>
      <c r="D332" s="2553"/>
      <c r="E332" s="2554"/>
    </row>
    <row r="333" spans="1:5" ht="15.75" thickBot="1" x14ac:dyDescent="0.3">
      <c r="A333" s="1158" t="s">
        <v>10</v>
      </c>
      <c r="B333" s="3037" t="s">
        <v>932</v>
      </c>
      <c r="C333" s="3038"/>
      <c r="D333" s="3038"/>
      <c r="E333" s="3039"/>
    </row>
    <row r="334" spans="1:5" ht="15.75" thickBot="1" x14ac:dyDescent="0.3">
      <c r="A334" s="1067" t="s">
        <v>13</v>
      </c>
      <c r="B334" s="2564" t="s">
        <v>933</v>
      </c>
      <c r="C334" s="2565"/>
      <c r="D334" s="2565"/>
      <c r="E334" s="2566"/>
    </row>
    <row r="335" spans="1:5" x14ac:dyDescent="0.25">
      <c r="A335" s="2974"/>
      <c r="B335" s="828">
        <v>2018</v>
      </c>
      <c r="C335" s="828">
        <v>2019</v>
      </c>
      <c r="D335" s="828">
        <v>2020</v>
      </c>
      <c r="E335" s="828">
        <v>2021</v>
      </c>
    </row>
    <row r="336" spans="1:5" ht="15.75" thickBot="1" x14ac:dyDescent="0.3">
      <c r="A336" s="2975"/>
      <c r="B336" s="827" t="s">
        <v>6</v>
      </c>
      <c r="C336" s="827" t="s">
        <v>7</v>
      </c>
      <c r="D336" s="827" t="s">
        <v>7</v>
      </c>
      <c r="E336" s="827" t="s">
        <v>7</v>
      </c>
    </row>
    <row r="337" spans="1:5" ht="15.75" thickBot="1" x14ac:dyDescent="0.3">
      <c r="A337" s="1158" t="s">
        <v>9</v>
      </c>
      <c r="B337" s="1069">
        <v>22</v>
      </c>
      <c r="C337" s="1069">
        <v>25</v>
      </c>
      <c r="D337" s="1069">
        <v>28</v>
      </c>
      <c r="E337" s="1069">
        <v>30</v>
      </c>
    </row>
    <row r="338" spans="1:5" ht="15.75" thickBot="1" x14ac:dyDescent="0.3">
      <c r="A338" s="1158" t="s">
        <v>14</v>
      </c>
      <c r="B338" s="1084">
        <f>49800-2100</f>
        <v>47700</v>
      </c>
      <c r="C338" s="1084">
        <f>56800-2600</f>
        <v>54200</v>
      </c>
      <c r="D338" s="1084">
        <f>63800-3000</f>
        <v>60800</v>
      </c>
      <c r="E338" s="1084">
        <f>68800-3400</f>
        <v>65400</v>
      </c>
    </row>
    <row r="339" spans="1:5" ht="15.75" thickBot="1" x14ac:dyDescent="0.3">
      <c r="A339" s="1158" t="s">
        <v>23</v>
      </c>
      <c r="B339" s="1073">
        <f>B338/B337</f>
        <v>2168.181818181818</v>
      </c>
      <c r="C339" s="1073">
        <f>C338/C337</f>
        <v>2168</v>
      </c>
      <c r="D339" s="1073">
        <f>D338/D337</f>
        <v>2171.4285714285716</v>
      </c>
      <c r="E339" s="1073">
        <f>E338/E337</f>
        <v>2180</v>
      </c>
    </row>
    <row r="340" spans="1:5" ht="15.75" thickBot="1" x14ac:dyDescent="0.3">
      <c r="A340" s="1158" t="s">
        <v>15</v>
      </c>
      <c r="B340" s="1152" t="s">
        <v>21</v>
      </c>
      <c r="C340" s="1070">
        <f t="shared" ref="C340:E342" si="12">C337/B337-1</f>
        <v>0.13636363636363646</v>
      </c>
      <c r="D340" s="1070">
        <f t="shared" si="12"/>
        <v>0.12000000000000011</v>
      </c>
      <c r="E340" s="1070">
        <f t="shared" si="12"/>
        <v>7.1428571428571397E-2</v>
      </c>
    </row>
    <row r="341" spans="1:5" ht="15.75" thickBot="1" x14ac:dyDescent="0.3">
      <c r="A341" s="1158" t="s">
        <v>16</v>
      </c>
      <c r="B341" s="1152" t="s">
        <v>21</v>
      </c>
      <c r="C341" s="1070">
        <f t="shared" si="12"/>
        <v>0.13626834381551367</v>
      </c>
      <c r="D341" s="1070">
        <f t="shared" si="12"/>
        <v>0.12177121771217703</v>
      </c>
      <c r="E341" s="1070">
        <f t="shared" si="12"/>
        <v>7.5657894736842035E-2</v>
      </c>
    </row>
    <row r="342" spans="1:5" ht="15.75" thickBot="1" x14ac:dyDescent="0.3">
      <c r="A342" s="1158" t="s">
        <v>17</v>
      </c>
      <c r="B342" s="1152" t="s">
        <v>21</v>
      </c>
      <c r="C342" s="1070">
        <f t="shared" si="12"/>
        <v>-8.3857442347956557E-5</v>
      </c>
      <c r="D342" s="1070">
        <f t="shared" si="12"/>
        <v>1.5814443858725991E-3</v>
      </c>
      <c r="E342" s="1070">
        <f t="shared" si="12"/>
        <v>3.9473684210524773E-3</v>
      </c>
    </row>
    <row r="343" spans="1:5" ht="15.75" thickBot="1" x14ac:dyDescent="0.3">
      <c r="A343" s="2976" t="s">
        <v>706</v>
      </c>
      <c r="B343" s="2977"/>
      <c r="C343" s="2977"/>
      <c r="D343" s="2977"/>
      <c r="E343" s="2978"/>
    </row>
    <row r="344" spans="1:5" x14ac:dyDescent="0.25">
      <c r="A344" s="2974"/>
      <c r="B344" s="828">
        <v>2018</v>
      </c>
      <c r="C344" s="828">
        <v>2019</v>
      </c>
      <c r="D344" s="828">
        <v>2020</v>
      </c>
      <c r="E344" s="828">
        <v>2021</v>
      </c>
    </row>
    <row r="345" spans="1:5" ht="15.75" thickBot="1" x14ac:dyDescent="0.3">
      <c r="A345" s="2975"/>
      <c r="B345" s="827" t="s">
        <v>6</v>
      </c>
      <c r="C345" s="827" t="s">
        <v>7</v>
      </c>
      <c r="D345" s="827" t="s">
        <v>7</v>
      </c>
      <c r="E345" s="827" t="s">
        <v>7</v>
      </c>
    </row>
    <row r="346" spans="1:5" ht="15.75" thickBot="1" x14ac:dyDescent="0.3">
      <c r="A346" s="981" t="s">
        <v>0</v>
      </c>
      <c r="B346" s="818">
        <v>20000</v>
      </c>
      <c r="C346" s="818">
        <v>20000</v>
      </c>
      <c r="D346" s="818">
        <v>20000</v>
      </c>
      <c r="E346" s="818">
        <v>20000</v>
      </c>
    </row>
    <row r="347" spans="1:5" ht="15.75" thickBot="1" x14ac:dyDescent="0.3">
      <c r="A347" s="981" t="s">
        <v>49</v>
      </c>
      <c r="B347" s="818">
        <v>4000</v>
      </c>
      <c r="C347" s="818">
        <v>4000</v>
      </c>
      <c r="D347" s="818">
        <v>4000</v>
      </c>
      <c r="E347" s="818">
        <v>4000</v>
      </c>
    </row>
    <row r="348" spans="1:5" ht="15.75" thickBot="1" x14ac:dyDescent="0.3">
      <c r="A348" s="981" t="s">
        <v>1</v>
      </c>
      <c r="B348" s="805">
        <v>21900</v>
      </c>
      <c r="C348" s="818">
        <v>5200</v>
      </c>
      <c r="D348" s="818">
        <v>11800</v>
      </c>
      <c r="E348" s="818">
        <v>16400</v>
      </c>
    </row>
    <row r="349" spans="1:5" ht="15.75" thickBot="1" x14ac:dyDescent="0.3">
      <c r="A349" s="981" t="s">
        <v>2</v>
      </c>
      <c r="B349" s="805"/>
      <c r="C349" s="818"/>
      <c r="D349" s="818"/>
      <c r="E349" s="818"/>
    </row>
    <row r="350" spans="1:5" ht="15.75" thickBot="1" x14ac:dyDescent="0.3">
      <c r="A350" s="981" t="s">
        <v>28</v>
      </c>
      <c r="B350" s="805">
        <v>0</v>
      </c>
      <c r="C350" s="805"/>
      <c r="D350" s="805"/>
      <c r="E350" s="805"/>
    </row>
    <row r="351" spans="1:5" ht="15.75" thickBot="1" x14ac:dyDescent="0.3">
      <c r="A351" s="981" t="s">
        <v>30</v>
      </c>
      <c r="B351" s="805">
        <v>1800</v>
      </c>
      <c r="C351" s="818">
        <v>25000</v>
      </c>
      <c r="D351" s="818">
        <v>25000</v>
      </c>
      <c r="E351" s="818">
        <v>25000</v>
      </c>
    </row>
    <row r="352" spans="1:5" ht="15.75" thickBot="1" x14ac:dyDescent="0.3">
      <c r="A352" s="981" t="s">
        <v>3</v>
      </c>
      <c r="B352" s="805"/>
      <c r="C352" s="818"/>
      <c r="D352" s="818"/>
      <c r="E352" s="818"/>
    </row>
    <row r="353" spans="1:5" ht="15.75" thickBot="1" x14ac:dyDescent="0.3">
      <c r="A353" s="1085" t="s">
        <v>72</v>
      </c>
      <c r="B353" s="1086">
        <f>SUM(B346:B352)</f>
        <v>47700</v>
      </c>
      <c r="C353" s="1086">
        <f>SUM(C346:C352)</f>
        <v>54200</v>
      </c>
      <c r="D353" s="1086">
        <f>SUM(D346:D352)</f>
        <v>60800</v>
      </c>
      <c r="E353" s="1086">
        <f>SUM(E346:E352)</f>
        <v>65400</v>
      </c>
    </row>
    <row r="354" spans="1:5" ht="15.75" thickBot="1" x14ac:dyDescent="0.3">
      <c r="A354" s="1071" t="s">
        <v>70</v>
      </c>
      <c r="B354" s="801">
        <f>B353-B338</f>
        <v>0</v>
      </c>
      <c r="C354" s="801">
        <f>C353-C338</f>
        <v>0</v>
      </c>
      <c r="D354" s="801">
        <f>D353-D338</f>
        <v>0</v>
      </c>
      <c r="E354" s="801">
        <f>E353-E338</f>
        <v>0</v>
      </c>
    </row>
    <row r="355" spans="1:5" ht="15.75" thickBot="1" x14ac:dyDescent="0.3">
      <c r="A355" s="2979" t="s">
        <v>630</v>
      </c>
      <c r="B355" s="2980"/>
      <c r="C355" s="2980"/>
      <c r="D355" s="2980"/>
      <c r="E355" s="2981"/>
    </row>
    <row r="356" spans="1:5" ht="15.75" thickBot="1" x14ac:dyDescent="0.3">
      <c r="A356" s="2979" t="s">
        <v>100</v>
      </c>
      <c r="B356" s="2980"/>
      <c r="C356" s="2980"/>
      <c r="D356" s="2980"/>
      <c r="E356" s="2981"/>
    </row>
    <row r="357" spans="1:5" ht="15.75" thickBot="1" x14ac:dyDescent="0.3">
      <c r="A357" s="2979" t="s">
        <v>106</v>
      </c>
      <c r="B357" s="2980"/>
      <c r="C357" s="2980"/>
      <c r="D357" s="2980"/>
      <c r="E357" s="2981"/>
    </row>
    <row r="358" spans="1:5" ht="15.75" thickBot="1" x14ac:dyDescent="0.3">
      <c r="A358" s="1066" t="s">
        <v>45</v>
      </c>
      <c r="B358" s="2552" t="s">
        <v>934</v>
      </c>
      <c r="C358" s="2553"/>
      <c r="D358" s="2553"/>
      <c r="E358" s="2554"/>
    </row>
    <row r="359" spans="1:5" ht="25.15" customHeight="1" thickBot="1" x14ac:dyDescent="0.3">
      <c r="A359" s="1158" t="s">
        <v>10</v>
      </c>
      <c r="B359" s="3037" t="s">
        <v>935</v>
      </c>
      <c r="C359" s="3038"/>
      <c r="D359" s="3038"/>
      <c r="E359" s="3039"/>
    </row>
    <row r="360" spans="1:5" ht="21" customHeight="1" thickBot="1" x14ac:dyDescent="0.3">
      <c r="A360" s="1067" t="s">
        <v>13</v>
      </c>
      <c r="B360" s="2564" t="s">
        <v>936</v>
      </c>
      <c r="C360" s="2565"/>
      <c r="D360" s="2565"/>
      <c r="E360" s="2566"/>
    </row>
    <row r="361" spans="1:5" x14ac:dyDescent="0.25">
      <c r="A361" s="2974"/>
      <c r="B361" s="828">
        <v>2018</v>
      </c>
      <c r="C361" s="828">
        <v>2019</v>
      </c>
      <c r="D361" s="828">
        <v>2020</v>
      </c>
      <c r="E361" s="828">
        <v>2021</v>
      </c>
    </row>
    <row r="362" spans="1:5" ht="15.75" thickBot="1" x14ac:dyDescent="0.3">
      <c r="A362" s="2975"/>
      <c r="B362" s="827" t="s">
        <v>6</v>
      </c>
      <c r="C362" s="827" t="s">
        <v>7</v>
      </c>
      <c r="D362" s="827" t="s">
        <v>7</v>
      </c>
      <c r="E362" s="827" t="s">
        <v>7</v>
      </c>
    </row>
    <row r="363" spans="1:5" ht="15.75" thickBot="1" x14ac:dyDescent="0.3">
      <c r="A363" s="1158" t="s">
        <v>9</v>
      </c>
      <c r="B363" s="1069">
        <v>2</v>
      </c>
      <c r="C363" s="1069">
        <v>3</v>
      </c>
      <c r="D363" s="1069">
        <v>3</v>
      </c>
      <c r="E363" s="1069">
        <v>3</v>
      </c>
    </row>
    <row r="364" spans="1:5" ht="15.75" thickBot="1" x14ac:dyDescent="0.3">
      <c r="A364" s="1158" t="s">
        <v>14</v>
      </c>
      <c r="B364" s="1073">
        <v>50000</v>
      </c>
      <c r="C364" s="1073">
        <v>100000</v>
      </c>
      <c r="D364" s="1073">
        <v>100000</v>
      </c>
      <c r="E364" s="1073">
        <v>100000</v>
      </c>
    </row>
    <row r="365" spans="1:5" ht="15.75" thickBot="1" x14ac:dyDescent="0.3">
      <c r="A365" s="1158" t="s">
        <v>23</v>
      </c>
      <c r="B365" s="1073">
        <f>B364/B363</f>
        <v>25000</v>
      </c>
      <c r="C365" s="1073">
        <f>C364/C363</f>
        <v>33333.333333333336</v>
      </c>
      <c r="D365" s="1073">
        <f>D364/D363</f>
        <v>33333.333333333336</v>
      </c>
      <c r="E365" s="1073">
        <f>E364/E363</f>
        <v>33333.333333333336</v>
      </c>
    </row>
    <row r="366" spans="1:5" ht="15.75" thickBot="1" x14ac:dyDescent="0.3">
      <c r="A366" s="1158" t="s">
        <v>15</v>
      </c>
      <c r="B366" s="1152" t="s">
        <v>21</v>
      </c>
      <c r="C366" s="1070">
        <f t="shared" ref="C366:E368" si="13">C363/B363-1</f>
        <v>0.5</v>
      </c>
      <c r="D366" s="1070">
        <f t="shared" si="13"/>
        <v>0</v>
      </c>
      <c r="E366" s="1070">
        <f t="shared" si="13"/>
        <v>0</v>
      </c>
    </row>
    <row r="367" spans="1:5" ht="15.75" thickBot="1" x14ac:dyDescent="0.3">
      <c r="A367" s="1158" t="s">
        <v>16</v>
      </c>
      <c r="B367" s="1152" t="s">
        <v>21</v>
      </c>
      <c r="C367" s="1070">
        <f t="shared" si="13"/>
        <v>1</v>
      </c>
      <c r="D367" s="1070">
        <f t="shared" si="13"/>
        <v>0</v>
      </c>
      <c r="E367" s="1070">
        <f t="shared" si="13"/>
        <v>0</v>
      </c>
    </row>
    <row r="368" spans="1:5" ht="15.75" thickBot="1" x14ac:dyDescent="0.3">
      <c r="A368" s="1158" t="s">
        <v>17</v>
      </c>
      <c r="B368" s="1152" t="s">
        <v>21</v>
      </c>
      <c r="C368" s="1070">
        <f t="shared" si="13"/>
        <v>0.33333333333333348</v>
      </c>
      <c r="D368" s="1070">
        <f t="shared" si="13"/>
        <v>0</v>
      </c>
      <c r="E368" s="1070">
        <f t="shared" si="13"/>
        <v>0</v>
      </c>
    </row>
    <row r="369" spans="1:5" ht="15.75" thickBot="1" x14ac:dyDescent="0.3">
      <c r="A369" s="2976" t="s">
        <v>707</v>
      </c>
      <c r="B369" s="2977"/>
      <c r="C369" s="2977"/>
      <c r="D369" s="2977"/>
      <c r="E369" s="2978"/>
    </row>
    <row r="370" spans="1:5" x14ac:dyDescent="0.25">
      <c r="A370" s="2974"/>
      <c r="B370" s="828">
        <v>2018</v>
      </c>
      <c r="C370" s="828">
        <v>2019</v>
      </c>
      <c r="D370" s="828">
        <v>2020</v>
      </c>
      <c r="E370" s="828">
        <v>2021</v>
      </c>
    </row>
    <row r="371" spans="1:5" ht="15.75" thickBot="1" x14ac:dyDescent="0.3">
      <c r="A371" s="2975"/>
      <c r="B371" s="827" t="s">
        <v>6</v>
      </c>
      <c r="C371" s="827" t="s">
        <v>7</v>
      </c>
      <c r="D371" s="827" t="s">
        <v>7</v>
      </c>
      <c r="E371" s="827" t="s">
        <v>7</v>
      </c>
    </row>
    <row r="372" spans="1:5" ht="15.75" thickBot="1" x14ac:dyDescent="0.3">
      <c r="A372" s="981" t="s">
        <v>104</v>
      </c>
      <c r="B372" s="818"/>
      <c r="C372" s="818"/>
      <c r="D372" s="818"/>
      <c r="E372" s="818"/>
    </row>
    <row r="373" spans="1:5" ht="15.75" thickBot="1" x14ac:dyDescent="0.3">
      <c r="A373" s="981" t="s">
        <v>105</v>
      </c>
      <c r="B373" s="805">
        <f>B364</f>
        <v>50000</v>
      </c>
      <c r="C373" s="805">
        <f>C364</f>
        <v>100000</v>
      </c>
      <c r="D373" s="805">
        <f>D364</f>
        <v>100000</v>
      </c>
      <c r="E373" s="805">
        <f>E364</f>
        <v>100000</v>
      </c>
    </row>
    <row r="374" spans="1:5" ht="15.75" thickBot="1" x14ac:dyDescent="0.3">
      <c r="A374" s="980" t="s">
        <v>68</v>
      </c>
      <c r="B374" s="794">
        <f>B373</f>
        <v>50000</v>
      </c>
      <c r="C374" s="794">
        <f>C373</f>
        <v>100000</v>
      </c>
      <c r="D374" s="794">
        <f>D373</f>
        <v>100000</v>
      </c>
      <c r="E374" s="794">
        <f>E373</f>
        <v>100000</v>
      </c>
    </row>
    <row r="375" spans="1:5" ht="15.75" thickBot="1" x14ac:dyDescent="0.3">
      <c r="A375" s="1071" t="s">
        <v>70</v>
      </c>
      <c r="B375" s="801">
        <f>B374-B364</f>
        <v>0</v>
      </c>
      <c r="C375" s="801">
        <f>C374-C364</f>
        <v>0</v>
      </c>
      <c r="D375" s="801">
        <f>D374-D364</f>
        <v>0</v>
      </c>
      <c r="E375" s="801">
        <f>E374-E364</f>
        <v>0</v>
      </c>
    </row>
    <row r="376" spans="1:5" ht="15.75" thickBot="1" x14ac:dyDescent="0.3">
      <c r="A376" s="1090"/>
      <c r="B376" s="1091"/>
      <c r="C376" s="1091"/>
      <c r="D376" s="1091"/>
      <c r="E376" s="1091"/>
    </row>
    <row r="377" spans="1:5" ht="15.75" thickBot="1" x14ac:dyDescent="0.3">
      <c r="A377" s="1093" t="s">
        <v>116</v>
      </c>
      <c r="B377" s="824">
        <f>B45+B69+B97+B116+B140+B168+B192+B217+B242+B266+B290+B314+B338+B364</f>
        <v>522316</v>
      </c>
      <c r="C377" s="824">
        <f>C45+C69+C97+C116+C140+C168+C192+C217+C242+C266+C290+C314+C338+C364</f>
        <v>700000</v>
      </c>
      <c r="D377" s="824">
        <f>D45+D69+D97+D116+D140+D168+D192+D217+D242+D266+D290+D314+D338+D364</f>
        <v>750000</v>
      </c>
      <c r="E377" s="824">
        <f>E45+E69+E97+E116+E140+E168+E192+E217+E242+E266+E290+E314+E338+E364</f>
        <v>780000</v>
      </c>
    </row>
    <row r="378" spans="1:5" ht="15.75" thickBot="1" x14ac:dyDescent="0.3">
      <c r="A378" s="1093" t="s">
        <v>117</v>
      </c>
      <c r="B378" s="824">
        <f>B60+B84+B107+B131+B155+B183+B207+B232+B257+B281+B305+B329+B353+B374</f>
        <v>522316</v>
      </c>
      <c r="C378" s="824">
        <f>C60+C84+C107+C131+C155+C183+C207+C232+C257+C281+C305+C329+C353+C374</f>
        <v>700000</v>
      </c>
      <c r="D378" s="824">
        <f>D60+D84+D107+D131+D155+D183+D207+D232+D257+D281+D305+D329+D353+D374</f>
        <v>750000</v>
      </c>
      <c r="E378" s="824">
        <f>E60+E84+E107+E131+E155+E183+E207+E232+E257+E281+E305+E329+E353+E374</f>
        <v>780000</v>
      </c>
    </row>
    <row r="379" spans="1:5" ht="15.75" thickBot="1" x14ac:dyDescent="0.3">
      <c r="A379" s="1100" t="s">
        <v>24</v>
      </c>
      <c r="B379" s="821"/>
      <c r="C379" s="820">
        <f>C378/B378-1</f>
        <v>0.34018486892991984</v>
      </c>
      <c r="D379" s="820">
        <f>D378/C378-1</f>
        <v>7.1428571428571397E-2</v>
      </c>
      <c r="E379" s="820">
        <f>E378/D378-1</f>
        <v>4.0000000000000036E-2</v>
      </c>
    </row>
    <row r="380" spans="1:5" ht="15.75" thickBot="1" x14ac:dyDescent="0.3">
      <c r="A380" s="981" t="s">
        <v>0</v>
      </c>
      <c r="B380" s="1103">
        <f>B53+B77+B124+B148+B176+B200+B225+B250+B274+B298+B322+B346</f>
        <v>47000</v>
      </c>
      <c r="C380" s="1103">
        <f>C53+C77+C124+C148+C176+C200+C225+C250+C274+C298+C322+C346</f>
        <v>47000</v>
      </c>
      <c r="D380" s="1103">
        <f>D53+D77+D124+D148+D176+D200+D225+D250+D274+D298+D322+D346</f>
        <v>47000</v>
      </c>
      <c r="E380" s="1103">
        <f>E53+E77+E124+E148+E176+E200+E225+E250+E274+E298+E322+E346</f>
        <v>47000</v>
      </c>
    </row>
    <row r="381" spans="1:5" ht="15.75" thickBot="1" x14ac:dyDescent="0.3">
      <c r="A381" s="1106" t="s">
        <v>25</v>
      </c>
      <c r="B381" s="1107"/>
      <c r="C381" s="1107"/>
      <c r="D381" s="1107"/>
      <c r="E381" s="1107"/>
    </row>
    <row r="382" spans="1:5" ht="15.75" thickBot="1" x14ac:dyDescent="0.3">
      <c r="A382" s="981" t="s">
        <v>49</v>
      </c>
      <c r="B382" s="1103">
        <f>B54+B78+B125+B149+B177+B201+B226+B251+B275+B323+B347</f>
        <v>9000</v>
      </c>
      <c r="C382" s="1103">
        <f>C54+C78+C125+C149+C177+C201+C226+C251+C275+C323+C347</f>
        <v>9000</v>
      </c>
      <c r="D382" s="1103">
        <f>D54+D78+D125+D149+D177+D201+D226+D251+D275+D323+D347</f>
        <v>9000</v>
      </c>
      <c r="E382" s="1103">
        <f>E54+E78+E125+E149+E177+E201+E226+E251+E275+E323+E347</f>
        <v>9000</v>
      </c>
    </row>
    <row r="383" spans="1:5" ht="15.75" thickBot="1" x14ac:dyDescent="0.3">
      <c r="A383" s="1106" t="s">
        <v>50</v>
      </c>
      <c r="B383" s="805"/>
      <c r="C383" s="804">
        <f>C382/B382-1</f>
        <v>0</v>
      </c>
      <c r="D383" s="804">
        <f>D382/C382-1</f>
        <v>0</v>
      </c>
      <c r="E383" s="804">
        <f>E382/D382-1</f>
        <v>0</v>
      </c>
    </row>
    <row r="384" spans="1:5" ht="15.75" thickBot="1" x14ac:dyDescent="0.3">
      <c r="A384" s="981" t="s">
        <v>1</v>
      </c>
      <c r="B384" s="1103">
        <f>B55+B79+B126+B149+B178+B202+B227+B252+B276+B300+B323+B348</f>
        <v>48000</v>
      </c>
      <c r="C384" s="1103">
        <f>C55+C79+C126+C149+C178+C202+C227+C252+C276+C300+C323+C348</f>
        <v>29300</v>
      </c>
      <c r="D384" s="1103">
        <f>D55+D79+D126+D149+D178+D202+D227+D252+D276+D300+D323+D348</f>
        <v>35900</v>
      </c>
      <c r="E384" s="1103">
        <f>E55+E79+E126+E149+E178+E202+E227+E252+E276+E300+E323+E348</f>
        <v>40500</v>
      </c>
    </row>
    <row r="385" spans="1:5" ht="15.75" thickBot="1" x14ac:dyDescent="0.3">
      <c r="A385" s="1106" t="s">
        <v>26</v>
      </c>
      <c r="B385" s="805"/>
      <c r="C385" s="804">
        <f>C384/B384-1</f>
        <v>-0.38958333333333328</v>
      </c>
      <c r="D385" s="804">
        <f>D384/C384-1</f>
        <v>0.22525597269624575</v>
      </c>
      <c r="E385" s="804">
        <f>E384/D384-1</f>
        <v>0.12813370473537611</v>
      </c>
    </row>
    <row r="386" spans="1:5" ht="15.75" thickBot="1" x14ac:dyDescent="0.3">
      <c r="A386" s="981" t="s">
        <v>2</v>
      </c>
      <c r="B386" s="818">
        <v>0</v>
      </c>
      <c r="C386" s="818">
        <v>0</v>
      </c>
      <c r="D386" s="818">
        <v>0</v>
      </c>
      <c r="E386" s="818">
        <v>0</v>
      </c>
    </row>
    <row r="387" spans="1:5" ht="15.75" thickBot="1" x14ac:dyDescent="0.3">
      <c r="A387" s="1106" t="s">
        <v>27</v>
      </c>
      <c r="B387" s="805"/>
      <c r="C387" s="804">
        <v>0</v>
      </c>
      <c r="D387" s="804">
        <v>0</v>
      </c>
      <c r="E387" s="804">
        <v>0</v>
      </c>
    </row>
    <row r="388" spans="1:5" ht="15.75" thickBot="1" x14ac:dyDescent="0.3">
      <c r="A388" s="981" t="s">
        <v>28</v>
      </c>
      <c r="B388" s="814">
        <f>B57+B81+B128+B152+B180+B229+B254+B278+B302+B326+B350</f>
        <v>101500</v>
      </c>
      <c r="C388" s="814">
        <f>C57+C81+C128+C152+C180+C229+C254+C278+C302+C326+C350</f>
        <v>134500</v>
      </c>
      <c r="D388" s="814">
        <f>D57+D81+D128+D152+D180+D229+D254+D278+D302+D326+D350</f>
        <v>165200</v>
      </c>
      <c r="E388" s="814">
        <f>E57+E81+E128+E152+E180+E229+E254+E278+E302+E326+E350</f>
        <v>190100</v>
      </c>
    </row>
    <row r="389" spans="1:5" ht="15.75" thickBot="1" x14ac:dyDescent="0.3">
      <c r="A389" s="1106" t="s">
        <v>29</v>
      </c>
      <c r="B389" s="805"/>
      <c r="C389" s="804">
        <v>0</v>
      </c>
      <c r="D389" s="804">
        <v>0</v>
      </c>
      <c r="E389" s="804">
        <v>0</v>
      </c>
    </row>
    <row r="390" spans="1:5" ht="15.75" thickBot="1" x14ac:dyDescent="0.3">
      <c r="A390" s="981" t="s">
        <v>30</v>
      </c>
      <c r="B390" s="814">
        <f>B58+B82+B129+B153+B181+B205+B230+B255+B279+B303+B327+B351</f>
        <v>7000</v>
      </c>
      <c r="C390" s="814">
        <f>C58+C82+C129+C153+C181+C205+C230+C255+C279+C303+C327+C351</f>
        <v>30200</v>
      </c>
      <c r="D390" s="814">
        <f>D58+D82+D129+D153+D181+D205+D230+D255+D279+D303+D327+D351</f>
        <v>30200</v>
      </c>
      <c r="E390" s="814">
        <f>E58+E82+E129+E153+E181+E205+E230+E255+E279+E303+E327+E351</f>
        <v>30200</v>
      </c>
    </row>
    <row r="391" spans="1:5" ht="15.75" thickBot="1" x14ac:dyDescent="0.3">
      <c r="A391" s="1106" t="s">
        <v>31</v>
      </c>
      <c r="B391" s="805"/>
      <c r="C391" s="804">
        <v>0</v>
      </c>
      <c r="D391" s="804">
        <v>0</v>
      </c>
      <c r="E391" s="804">
        <v>0</v>
      </c>
    </row>
    <row r="392" spans="1:5" ht="15.75" thickBot="1" x14ac:dyDescent="0.3">
      <c r="A392" s="981" t="s">
        <v>3</v>
      </c>
      <c r="B392" s="818">
        <v>0</v>
      </c>
      <c r="C392" s="818">
        <v>0</v>
      </c>
      <c r="D392" s="818">
        <v>0</v>
      </c>
      <c r="E392" s="818">
        <v>0</v>
      </c>
    </row>
    <row r="393" spans="1:5" ht="15.75" thickBot="1" x14ac:dyDescent="0.3">
      <c r="A393" s="1106" t="s">
        <v>32</v>
      </c>
      <c r="B393" s="805"/>
      <c r="C393" s="804">
        <v>0</v>
      </c>
      <c r="D393" s="804">
        <v>0</v>
      </c>
      <c r="E393" s="804">
        <v>0</v>
      </c>
    </row>
    <row r="394" spans="1:5" ht="15.75" thickBot="1" x14ac:dyDescent="0.3">
      <c r="A394" s="981" t="s">
        <v>18</v>
      </c>
      <c r="B394" s="814">
        <f>B105+B372</f>
        <v>0</v>
      </c>
      <c r="C394" s="814">
        <f>C105+C372</f>
        <v>0</v>
      </c>
      <c r="D394" s="814">
        <f>D105+D372</f>
        <v>0</v>
      </c>
      <c r="E394" s="814">
        <f>E105+E372</f>
        <v>0</v>
      </c>
    </row>
    <row r="395" spans="1:5" ht="15.75" thickBot="1" x14ac:dyDescent="0.3">
      <c r="A395" s="1106" t="s">
        <v>33</v>
      </c>
      <c r="B395" s="814"/>
      <c r="C395" s="804">
        <v>0</v>
      </c>
      <c r="D395" s="804">
        <v>0</v>
      </c>
      <c r="E395" s="804">
        <v>0</v>
      </c>
    </row>
    <row r="396" spans="1:5" ht="15.75" thickBot="1" x14ac:dyDescent="0.3">
      <c r="A396" s="1063" t="s">
        <v>19</v>
      </c>
      <c r="B396" s="814">
        <f>B106+B373</f>
        <v>309816</v>
      </c>
      <c r="C396" s="814">
        <f>C106+C373</f>
        <v>450000</v>
      </c>
      <c r="D396" s="814">
        <f>D106+D373</f>
        <v>450000</v>
      </c>
      <c r="E396" s="814">
        <f>E106+E373</f>
        <v>450000</v>
      </c>
    </row>
    <row r="397" spans="1:5" ht="15.75" thickBot="1" x14ac:dyDescent="0.3">
      <c r="A397" s="1106" t="s">
        <v>34</v>
      </c>
      <c r="B397" s="805"/>
      <c r="C397" s="804">
        <f>C396/B396-1</f>
        <v>0.45247501742970031</v>
      </c>
      <c r="D397" s="804">
        <f>D396/C396-1</f>
        <v>0</v>
      </c>
      <c r="E397" s="804">
        <f>E396/D396-1</f>
        <v>0</v>
      </c>
    </row>
    <row r="398" spans="1:5" ht="15.75" thickBot="1" x14ac:dyDescent="0.3">
      <c r="A398" s="1115" t="s">
        <v>549</v>
      </c>
      <c r="B398" s="801">
        <f>B380+B382+B384+B386+B388+B390+B392+B394+B396</f>
        <v>522316</v>
      </c>
      <c r="C398" s="801">
        <f>C380+C382+C384+C386+C388+C390+C392+C394+C396</f>
        <v>700000</v>
      </c>
      <c r="D398" s="801">
        <f>D380+D382+D384+D386+D388+D390+D392+D394+D396</f>
        <v>737300</v>
      </c>
      <c r="E398" s="801">
        <f>E380+E382+E384+E386+E388+E390+E392+E394+E396</f>
        <v>766800</v>
      </c>
    </row>
    <row r="399" spans="1:5" ht="15.75" thickBot="1" x14ac:dyDescent="0.3">
      <c r="A399" s="1071" t="s">
        <v>70</v>
      </c>
      <c r="B399" s="801">
        <f>B398-B377</f>
        <v>0</v>
      </c>
      <c r="C399" s="801">
        <f>C398-C377</f>
        <v>0</v>
      </c>
      <c r="D399" s="801">
        <f>D398-D377</f>
        <v>-12700</v>
      </c>
      <c r="E399" s="801">
        <f>E398-E377</f>
        <v>-13200</v>
      </c>
    </row>
    <row r="400" spans="1:5" ht="15.75" thickBot="1" x14ac:dyDescent="0.3">
      <c r="A400" s="1116" t="s">
        <v>55</v>
      </c>
      <c r="B400" s="818">
        <f>B155</f>
        <v>5000</v>
      </c>
      <c r="C400" s="818">
        <f>C155</f>
        <v>6200</v>
      </c>
      <c r="D400" s="818">
        <f>D155</f>
        <v>6400</v>
      </c>
      <c r="E400" s="818">
        <f>E155</f>
        <v>6600</v>
      </c>
    </row>
    <row r="401" spans="1:5" ht="15.75" thickBot="1" x14ac:dyDescent="0.3">
      <c r="A401" s="1116" t="s">
        <v>64</v>
      </c>
      <c r="B401" s="818" t="s">
        <v>21</v>
      </c>
      <c r="C401" s="818" t="s">
        <v>21</v>
      </c>
      <c r="D401" s="818" t="s">
        <v>21</v>
      </c>
      <c r="E401" s="818" t="s">
        <v>21</v>
      </c>
    </row>
    <row r="402" spans="1:5" x14ac:dyDescent="0.25">
      <c r="A402" s="1117"/>
      <c r="B402" s="800"/>
      <c r="C402" s="800"/>
      <c r="D402" s="800"/>
      <c r="E402" s="800"/>
    </row>
    <row r="403" spans="1:5" ht="15.75" thickBot="1" x14ac:dyDescent="0.3">
      <c r="A403" s="1117"/>
      <c r="B403" s="800"/>
      <c r="C403" s="800"/>
      <c r="D403" s="800"/>
      <c r="E403" s="800"/>
    </row>
    <row r="404" spans="1:5" x14ac:dyDescent="0.25">
      <c r="A404" s="1118"/>
      <c r="B404" s="3044" t="s">
        <v>83</v>
      </c>
      <c r="C404" s="1119" t="s">
        <v>80</v>
      </c>
      <c r="D404" s="1120"/>
      <c r="E404" s="3044" t="s">
        <v>118</v>
      </c>
    </row>
    <row r="405" spans="1:5" x14ac:dyDescent="0.25">
      <c r="A405" s="1121"/>
      <c r="B405" s="3045"/>
      <c r="C405" s="1122" t="s">
        <v>81</v>
      </c>
      <c r="D405" s="1123"/>
      <c r="E405" s="3045"/>
    </row>
    <row r="406" spans="1:5" ht="15.75" thickBot="1" x14ac:dyDescent="0.3">
      <c r="A406" s="1124"/>
      <c r="B406" s="3046"/>
      <c r="C406" s="1125" t="s">
        <v>82</v>
      </c>
      <c r="D406" s="1126"/>
      <c r="E406" s="3046"/>
    </row>
    <row r="407" spans="1:5" ht="15.75" thickBot="1" x14ac:dyDescent="0.3">
      <c r="A407" s="1127"/>
      <c r="B407" s="1128"/>
      <c r="C407" s="778"/>
      <c r="D407" s="1129"/>
      <c r="E407" s="1129"/>
    </row>
    <row r="408" spans="1:5" ht="15.75" thickBot="1" x14ac:dyDescent="0.3">
      <c r="A408" s="1130" t="s">
        <v>86</v>
      </c>
      <c r="B408" s="1128"/>
      <c r="C408" s="778"/>
      <c r="D408" s="1129"/>
      <c r="E408" s="1129"/>
    </row>
    <row r="409" spans="1:5" x14ac:dyDescent="0.25">
      <c r="A409" s="2573" t="s">
        <v>123</v>
      </c>
      <c r="B409" s="2574"/>
      <c r="C409" s="2574"/>
      <c r="D409" s="2574"/>
      <c r="E409" s="2575"/>
    </row>
    <row r="410" spans="1:5" x14ac:dyDescent="0.25">
      <c r="A410" s="2576" t="s">
        <v>124</v>
      </c>
      <c r="B410" s="2577"/>
      <c r="C410" s="2577"/>
      <c r="D410" s="2577"/>
      <c r="E410" s="2578"/>
    </row>
    <row r="411" spans="1:5" x14ac:dyDescent="0.25">
      <c r="A411" s="3043" t="s">
        <v>125</v>
      </c>
      <c r="B411" s="2583"/>
      <c r="C411" s="2583"/>
      <c r="D411" s="2583"/>
      <c r="E411" s="2584"/>
    </row>
    <row r="412" spans="1:5" x14ac:dyDescent="0.25">
      <c r="A412" s="3043" t="s">
        <v>126</v>
      </c>
      <c r="B412" s="2583"/>
      <c r="C412" s="2583"/>
      <c r="D412" s="2583"/>
      <c r="E412" s="2584"/>
    </row>
    <row r="413" spans="1:5" x14ac:dyDescent="0.25">
      <c r="A413" s="3043" t="s">
        <v>115</v>
      </c>
      <c r="B413" s="2583"/>
      <c r="C413" s="2583"/>
      <c r="D413" s="2583"/>
      <c r="E413" s="2584"/>
    </row>
    <row r="414" spans="1:5" x14ac:dyDescent="0.25">
      <c r="A414" s="2582" t="s">
        <v>704</v>
      </c>
      <c r="B414" s="2583"/>
      <c r="C414" s="2583"/>
      <c r="D414" s="2583"/>
      <c r="E414" s="2584"/>
    </row>
    <row r="415" spans="1:5" ht="15.75" thickBot="1" x14ac:dyDescent="0.3">
      <c r="A415" s="2567" t="s">
        <v>79</v>
      </c>
      <c r="B415" s="2568"/>
      <c r="C415" s="2568"/>
      <c r="D415" s="2568"/>
      <c r="E415" s="2569"/>
    </row>
    <row r="424" spans="1:1" x14ac:dyDescent="0.25">
      <c r="A424" s="1131"/>
    </row>
    <row r="425" spans="1:1" x14ac:dyDescent="0.25">
      <c r="A425" s="1131"/>
    </row>
    <row r="426" spans="1:1" x14ac:dyDescent="0.25">
      <c r="A426" s="1131"/>
    </row>
    <row r="427" spans="1:1" x14ac:dyDescent="0.25">
      <c r="A427" s="1131"/>
    </row>
    <row r="428" spans="1:1" x14ac:dyDescent="0.25">
      <c r="A428" s="1131"/>
    </row>
    <row r="429" spans="1:1" x14ac:dyDescent="0.25">
      <c r="A429" s="1131"/>
    </row>
  </sheetData>
  <mergeCells count="132">
    <mergeCell ref="A410:E410"/>
    <mergeCell ref="A411:E411"/>
    <mergeCell ref="A412:E412"/>
    <mergeCell ref="A413:E413"/>
    <mergeCell ref="A414:E414"/>
    <mergeCell ref="A415:E415"/>
    <mergeCell ref="A361:A362"/>
    <mergeCell ref="A369:E369"/>
    <mergeCell ref="A370:A371"/>
    <mergeCell ref="B404:B406"/>
    <mergeCell ref="E404:E406"/>
    <mergeCell ref="A409:E409"/>
    <mergeCell ref="A355:E355"/>
    <mergeCell ref="A356:E356"/>
    <mergeCell ref="A357:E357"/>
    <mergeCell ref="B358:E358"/>
    <mergeCell ref="B359:E359"/>
    <mergeCell ref="B360:E360"/>
    <mergeCell ref="B332:E332"/>
    <mergeCell ref="B333:E333"/>
    <mergeCell ref="B334:E334"/>
    <mergeCell ref="A335:A336"/>
    <mergeCell ref="A343:E343"/>
    <mergeCell ref="A344:A345"/>
    <mergeCell ref="B309:E309"/>
    <mergeCell ref="B310:E310"/>
    <mergeCell ref="A311:A312"/>
    <mergeCell ref="A319:E319"/>
    <mergeCell ref="A320:A321"/>
    <mergeCell ref="A331:E331"/>
    <mergeCell ref="B286:E286"/>
    <mergeCell ref="A287:A288"/>
    <mergeCell ref="A295:E295"/>
    <mergeCell ref="A296:A297"/>
    <mergeCell ref="A307:E307"/>
    <mergeCell ref="B308:E308"/>
    <mergeCell ref="A263:A264"/>
    <mergeCell ref="A271:E271"/>
    <mergeCell ref="A272:A273"/>
    <mergeCell ref="A283:E283"/>
    <mergeCell ref="B284:E284"/>
    <mergeCell ref="B285:E285"/>
    <mergeCell ref="A247:E247"/>
    <mergeCell ref="A248:A249"/>
    <mergeCell ref="A259:E259"/>
    <mergeCell ref="B260:E260"/>
    <mergeCell ref="B261:E261"/>
    <mergeCell ref="B262:E262"/>
    <mergeCell ref="A234:E234"/>
    <mergeCell ref="A235:E235"/>
    <mergeCell ref="B236:E236"/>
    <mergeCell ref="B237:E237"/>
    <mergeCell ref="B238:E238"/>
    <mergeCell ref="A239:A240"/>
    <mergeCell ref="A211:A212"/>
    <mergeCell ref="B211:E212"/>
    <mergeCell ref="B213:E213"/>
    <mergeCell ref="A214:A215"/>
    <mergeCell ref="A222:E222"/>
    <mergeCell ref="A223:A224"/>
    <mergeCell ref="B188:E188"/>
    <mergeCell ref="A189:A190"/>
    <mergeCell ref="A197:E197"/>
    <mergeCell ref="A198:A199"/>
    <mergeCell ref="A209:E209"/>
    <mergeCell ref="B210:E210"/>
    <mergeCell ref="A165:A166"/>
    <mergeCell ref="A173:E173"/>
    <mergeCell ref="A174:A175"/>
    <mergeCell ref="A185:E185"/>
    <mergeCell ref="B186:E186"/>
    <mergeCell ref="B187:E187"/>
    <mergeCell ref="A158:E158"/>
    <mergeCell ref="A159:A160"/>
    <mergeCell ref="B161:E161"/>
    <mergeCell ref="A162:A163"/>
    <mergeCell ref="B162:E163"/>
    <mergeCell ref="B164:E164"/>
    <mergeCell ref="B135:E135"/>
    <mergeCell ref="B136:E136"/>
    <mergeCell ref="A137:A138"/>
    <mergeCell ref="A145:E145"/>
    <mergeCell ref="A146:A147"/>
    <mergeCell ref="A157:E157"/>
    <mergeCell ref="B112:E112"/>
    <mergeCell ref="A113:A114"/>
    <mergeCell ref="A121:E121"/>
    <mergeCell ref="A122:A123"/>
    <mergeCell ref="A133:E133"/>
    <mergeCell ref="B134:E134"/>
    <mergeCell ref="A94:A95"/>
    <mergeCell ref="A102:E102"/>
    <mergeCell ref="A103:A104"/>
    <mergeCell ref="A109:E109"/>
    <mergeCell ref="B110:E110"/>
    <mergeCell ref="B111:E111"/>
    <mergeCell ref="A88:E88"/>
    <mergeCell ref="B89:E89"/>
    <mergeCell ref="B90:E90"/>
    <mergeCell ref="A91:A92"/>
    <mergeCell ref="B91:E92"/>
    <mergeCell ref="B93:E93"/>
    <mergeCell ref="B65:E65"/>
    <mergeCell ref="A66:A67"/>
    <mergeCell ref="A74:E74"/>
    <mergeCell ref="A75:A76"/>
    <mergeCell ref="A86:E86"/>
    <mergeCell ref="A87:E87"/>
    <mergeCell ref="A42:A43"/>
    <mergeCell ref="A50:E50"/>
    <mergeCell ref="A51:A52"/>
    <mergeCell ref="A62:E62"/>
    <mergeCell ref="B63:E63"/>
    <mergeCell ref="B64:E64"/>
    <mergeCell ref="A33:E33"/>
    <mergeCell ref="A37:E37"/>
    <mergeCell ref="A38:E38"/>
    <mergeCell ref="B39:E39"/>
    <mergeCell ref="B40:E40"/>
    <mergeCell ref="B41:E41"/>
    <mergeCell ref="A8:E8"/>
    <mergeCell ref="A9:E13"/>
    <mergeCell ref="A14:E14"/>
    <mergeCell ref="A15:E20"/>
    <mergeCell ref="A21:A22"/>
    <mergeCell ref="B32:E32"/>
    <mergeCell ref="A1:E1"/>
    <mergeCell ref="A2:E2"/>
    <mergeCell ref="A3:E3"/>
    <mergeCell ref="B5:E5"/>
    <mergeCell ref="B6:E6"/>
    <mergeCell ref="B7:E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K429"/>
  <sheetViews>
    <sheetView view="pageBreakPreview" topLeftCell="A19" zoomScale="136" zoomScaleNormal="98" zoomScaleSheetLayoutView="136" workbookViewId="0">
      <selection activeCell="B28" sqref="B28"/>
    </sheetView>
  </sheetViews>
  <sheetFormatPr defaultColWidth="8.85546875" defaultRowHeight="12.6" customHeight="1" x14ac:dyDescent="0.25"/>
  <cols>
    <col min="1" max="1" width="4.5703125" style="1082" customWidth="1"/>
    <col min="2" max="2" width="50.140625" style="1082" customWidth="1"/>
    <col min="3" max="3" width="15" style="1132" customWidth="1"/>
    <col min="4" max="4" width="19.7109375" style="1132" customWidth="1"/>
    <col min="5" max="5" width="24.7109375" style="1132" customWidth="1"/>
    <col min="6" max="6" width="21.85546875" style="1132" customWidth="1"/>
    <col min="7" max="7" width="11.7109375" style="1051" customWidth="1"/>
    <col min="8" max="8" width="12.28515625" style="1051" customWidth="1"/>
    <col min="9" max="10" width="8.85546875" style="1051"/>
    <col min="11" max="16384" width="8.85546875" style="1082"/>
  </cols>
  <sheetData>
    <row r="1" spans="2:6" ht="12.6" customHeight="1" x14ac:dyDescent="0.25">
      <c r="B1" s="2964" t="s">
        <v>135</v>
      </c>
      <c r="C1" s="2965"/>
      <c r="D1" s="2965"/>
      <c r="E1" s="2965"/>
      <c r="F1" s="2965"/>
    </row>
    <row r="2" spans="2:6" ht="12.6" customHeight="1" x14ac:dyDescent="0.25">
      <c r="B2" s="2966" t="s">
        <v>128</v>
      </c>
      <c r="C2" s="2966"/>
      <c r="D2" s="2966"/>
      <c r="E2" s="2966"/>
      <c r="F2" s="2966"/>
    </row>
    <row r="3" spans="2:6" ht="12.6" customHeight="1" x14ac:dyDescent="0.25">
      <c r="B3" s="2967" t="s">
        <v>127</v>
      </c>
      <c r="C3" s="2967"/>
      <c r="D3" s="2967"/>
      <c r="E3" s="2967"/>
      <c r="F3" s="2967"/>
    </row>
    <row r="5" spans="2:6" ht="12.6" customHeight="1" x14ac:dyDescent="0.25">
      <c r="B5" s="1052" t="s">
        <v>96</v>
      </c>
      <c r="C5" s="2968" t="s">
        <v>872</v>
      </c>
      <c r="D5" s="2969"/>
      <c r="E5" s="2969"/>
      <c r="F5" s="2969"/>
    </row>
    <row r="6" spans="2:6" ht="12.6" customHeight="1" x14ac:dyDescent="0.25">
      <c r="B6" s="1053" t="s">
        <v>4</v>
      </c>
      <c r="C6" s="2970" t="s">
        <v>143</v>
      </c>
      <c r="D6" s="2971"/>
      <c r="E6" s="2971"/>
      <c r="F6" s="2971"/>
    </row>
    <row r="7" spans="2:6" ht="12.6" customHeight="1" x14ac:dyDescent="0.25">
      <c r="B7" s="1054" t="s">
        <v>136</v>
      </c>
      <c r="C7" s="2972" t="s">
        <v>5</v>
      </c>
      <c r="D7" s="2973"/>
      <c r="E7" s="2973"/>
      <c r="F7" s="2973"/>
    </row>
    <row r="8" spans="2:6" ht="12.6" customHeight="1" x14ac:dyDescent="0.25">
      <c r="B8" s="2954" t="s">
        <v>582</v>
      </c>
      <c r="C8" s="2955"/>
      <c r="D8" s="2955"/>
      <c r="E8" s="2955"/>
      <c r="F8" s="2955"/>
    </row>
    <row r="9" spans="2:6" ht="12.6" customHeight="1" x14ac:dyDescent="0.25">
      <c r="B9" s="2956" t="s">
        <v>874</v>
      </c>
      <c r="C9" s="2957"/>
      <c r="D9" s="2957"/>
      <c r="E9" s="2957"/>
      <c r="F9" s="2957"/>
    </row>
    <row r="10" spans="2:6" ht="12.6" customHeight="1" x14ac:dyDescent="0.25">
      <c r="B10" s="2958"/>
      <c r="C10" s="2959"/>
      <c r="D10" s="2959"/>
      <c r="E10" s="2959"/>
      <c r="F10" s="2959"/>
    </row>
    <row r="11" spans="2:6" ht="12.6" customHeight="1" x14ac:dyDescent="0.25">
      <c r="B11" s="2958"/>
      <c r="C11" s="2959"/>
      <c r="D11" s="2959"/>
      <c r="E11" s="2959"/>
      <c r="F11" s="2959"/>
    </row>
    <row r="12" spans="2:6" ht="12.6" customHeight="1" x14ac:dyDescent="0.25">
      <c r="B12" s="2958"/>
      <c r="C12" s="2959"/>
      <c r="D12" s="2959"/>
      <c r="E12" s="2959"/>
      <c r="F12" s="2959"/>
    </row>
    <row r="13" spans="2:6" ht="54" customHeight="1" x14ac:dyDescent="0.25">
      <c r="B13" s="2960"/>
      <c r="C13" s="2961"/>
      <c r="D13" s="2961"/>
      <c r="E13" s="2961"/>
      <c r="F13" s="2961"/>
    </row>
    <row r="14" spans="2:6" ht="12.6" customHeight="1" x14ac:dyDescent="0.25">
      <c r="B14" s="2954" t="s">
        <v>875</v>
      </c>
      <c r="C14" s="2955"/>
      <c r="D14" s="2955"/>
      <c r="E14" s="2955"/>
      <c r="F14" s="2955"/>
    </row>
    <row r="15" spans="2:6" ht="12.6" customHeight="1" x14ac:dyDescent="0.25">
      <c r="B15" s="2956" t="s">
        <v>876</v>
      </c>
      <c r="C15" s="2957"/>
      <c r="D15" s="2957"/>
      <c r="E15" s="2957"/>
      <c r="F15" s="2957"/>
    </row>
    <row r="16" spans="2:6" ht="12.6" customHeight="1" x14ac:dyDescent="0.25">
      <c r="B16" s="2958"/>
      <c r="C16" s="2959"/>
      <c r="D16" s="2959"/>
      <c r="E16" s="2959"/>
      <c r="F16" s="2959"/>
    </row>
    <row r="17" spans="2:6" ht="12.6" customHeight="1" x14ac:dyDescent="0.25">
      <c r="B17" s="2958"/>
      <c r="C17" s="2959"/>
      <c r="D17" s="2959"/>
      <c r="E17" s="2959"/>
      <c r="F17" s="2959"/>
    </row>
    <row r="18" spans="2:6" ht="12.6" customHeight="1" x14ac:dyDescent="0.25">
      <c r="B18" s="2958"/>
      <c r="C18" s="2959"/>
      <c r="D18" s="2959"/>
      <c r="E18" s="2959"/>
      <c r="F18" s="2959"/>
    </row>
    <row r="19" spans="2:6" ht="12.6" customHeight="1" x14ac:dyDescent="0.25">
      <c r="B19" s="2958"/>
      <c r="C19" s="2959"/>
      <c r="D19" s="2959"/>
      <c r="E19" s="2959"/>
      <c r="F19" s="2959"/>
    </row>
    <row r="20" spans="2:6" ht="36.6" customHeight="1" thickBot="1" x14ac:dyDescent="0.3">
      <c r="B20" s="2960"/>
      <c r="C20" s="2961"/>
      <c r="D20" s="2961"/>
      <c r="E20" s="2961"/>
      <c r="F20" s="2961"/>
    </row>
    <row r="21" spans="2:6" ht="12.6" customHeight="1" x14ac:dyDescent="0.25">
      <c r="B21" s="2962" t="s">
        <v>119</v>
      </c>
      <c r="C21" s="921">
        <v>2018</v>
      </c>
      <c r="D21" s="921">
        <v>2019</v>
      </c>
      <c r="E21" s="921">
        <v>2020</v>
      </c>
      <c r="F21" s="921">
        <v>2021</v>
      </c>
    </row>
    <row r="22" spans="2:6" ht="12.6" customHeight="1" thickBot="1" x14ac:dyDescent="0.3">
      <c r="B22" s="2963"/>
      <c r="C22" s="920" t="s">
        <v>6</v>
      </c>
      <c r="D22" s="920" t="s">
        <v>7</v>
      </c>
      <c r="E22" s="920" t="s">
        <v>7</v>
      </c>
      <c r="F22" s="920" t="s">
        <v>7</v>
      </c>
    </row>
    <row r="23" spans="2:6" ht="12.6" customHeight="1" thickBot="1" x14ac:dyDescent="0.3">
      <c r="B23" s="1055" t="s">
        <v>877</v>
      </c>
      <c r="C23" s="1056">
        <v>45</v>
      </c>
      <c r="D23" s="1056">
        <v>45</v>
      </c>
      <c r="E23" s="1056">
        <v>45</v>
      </c>
      <c r="F23" s="1056">
        <v>45</v>
      </c>
    </row>
    <row r="24" spans="2:6" ht="12.6" customHeight="1" thickBot="1" x14ac:dyDescent="0.3">
      <c r="B24" s="1055" t="s">
        <v>878</v>
      </c>
      <c r="C24" s="1056">
        <v>45</v>
      </c>
      <c r="D24" s="1056">
        <v>45</v>
      </c>
      <c r="E24" s="1056">
        <v>45</v>
      </c>
      <c r="F24" s="1056">
        <v>45</v>
      </c>
    </row>
    <row r="25" spans="2:6" ht="12.6" customHeight="1" thickBot="1" x14ac:dyDescent="0.3">
      <c r="B25" s="1055" t="s">
        <v>879</v>
      </c>
      <c r="C25" s="1057">
        <v>20384</v>
      </c>
      <c r="D25" s="1057">
        <v>20500</v>
      </c>
      <c r="E25" s="1057">
        <v>20700</v>
      </c>
      <c r="F25" s="1057">
        <v>21000</v>
      </c>
    </row>
    <row r="26" spans="2:6" ht="12.6" customHeight="1" thickBot="1" x14ac:dyDescent="0.3">
      <c r="B26" s="1055" t="s">
        <v>880</v>
      </c>
      <c r="C26" s="1058">
        <v>142</v>
      </c>
      <c r="D26" s="1058">
        <v>142</v>
      </c>
      <c r="E26" s="1058">
        <v>142</v>
      </c>
      <c r="F26" s="1058">
        <v>142</v>
      </c>
    </row>
    <row r="27" spans="2:6" ht="82.9" customHeight="1" thickBot="1" x14ac:dyDescent="0.3">
      <c r="B27" s="1055" t="s">
        <v>881</v>
      </c>
      <c r="C27" s="1058">
        <v>150</v>
      </c>
      <c r="D27" s="1058">
        <v>180</v>
      </c>
      <c r="E27" s="1058">
        <v>200</v>
      </c>
      <c r="F27" s="1058">
        <v>200</v>
      </c>
    </row>
    <row r="28" spans="2:6" ht="15.6" customHeight="1" thickBot="1" x14ac:dyDescent="0.3">
      <c r="B28" s="1059" t="s">
        <v>882</v>
      </c>
      <c r="C28" s="1060">
        <v>700</v>
      </c>
      <c r="D28" s="1060">
        <v>800</v>
      </c>
      <c r="E28" s="1060">
        <v>900</v>
      </c>
      <c r="F28" s="1060">
        <v>1000</v>
      </c>
    </row>
    <row r="29" spans="2:6" ht="48" customHeight="1" thickBot="1" x14ac:dyDescent="0.3">
      <c r="B29" s="1059" t="s">
        <v>883</v>
      </c>
      <c r="C29" s="1061" t="s">
        <v>884</v>
      </c>
      <c r="D29" s="1061" t="s">
        <v>884</v>
      </c>
      <c r="E29" s="1061" t="s">
        <v>884</v>
      </c>
      <c r="F29" s="1061" t="s">
        <v>884</v>
      </c>
    </row>
    <row r="30" spans="2:6" ht="24.6" customHeight="1" thickBot="1" x14ac:dyDescent="0.3">
      <c r="B30" s="1059" t="s">
        <v>885</v>
      </c>
      <c r="C30" s="1062">
        <v>15</v>
      </c>
      <c r="D30" s="1062">
        <v>18</v>
      </c>
      <c r="E30" s="1062">
        <v>20</v>
      </c>
      <c r="F30" s="1062">
        <v>25</v>
      </c>
    </row>
    <row r="31" spans="2:6" ht="37.15" customHeight="1" thickBot="1" x14ac:dyDescent="0.3">
      <c r="B31" s="1059" t="s">
        <v>886</v>
      </c>
      <c r="C31" s="1062">
        <v>3</v>
      </c>
      <c r="D31" s="1062">
        <v>6</v>
      </c>
      <c r="E31" s="1062">
        <v>9</v>
      </c>
      <c r="F31" s="1062">
        <v>12</v>
      </c>
    </row>
    <row r="32" spans="2:6" ht="27.6" customHeight="1" thickBot="1" x14ac:dyDescent="0.3">
      <c r="B32" s="1063" t="s">
        <v>12</v>
      </c>
      <c r="C32" s="2530" t="s">
        <v>887</v>
      </c>
      <c r="D32" s="2531"/>
      <c r="E32" s="2531"/>
      <c r="F32" s="2532"/>
    </row>
    <row r="33" spans="2:6" ht="12.6" customHeight="1" thickBot="1" x14ac:dyDescent="0.3">
      <c r="B33" s="2521" t="s">
        <v>120</v>
      </c>
      <c r="C33" s="2522"/>
      <c r="D33" s="2522"/>
      <c r="E33" s="2522"/>
      <c r="F33" s="2523"/>
    </row>
    <row r="34" spans="2:6" ht="12.6" customHeight="1" thickBot="1" x14ac:dyDescent="0.3">
      <c r="B34" s="1158" t="s">
        <v>877</v>
      </c>
      <c r="C34" s="1064">
        <f>C44</f>
        <v>45</v>
      </c>
      <c r="D34" s="1064">
        <f>D44</f>
        <v>45</v>
      </c>
      <c r="E34" s="1064">
        <f>E44</f>
        <v>45</v>
      </c>
      <c r="F34" s="1064">
        <f>F44</f>
        <v>45</v>
      </c>
    </row>
    <row r="35" spans="2:6" ht="12.6" customHeight="1" thickBot="1" x14ac:dyDescent="0.3">
      <c r="B35" s="1158" t="s">
        <v>878</v>
      </c>
      <c r="C35" s="1065">
        <v>45</v>
      </c>
      <c r="D35" s="1065">
        <v>45</v>
      </c>
      <c r="E35" s="1065">
        <v>45</v>
      </c>
      <c r="F35" s="1065">
        <v>45</v>
      </c>
    </row>
    <row r="36" spans="2:6" ht="14.45" customHeight="1" thickBot="1" x14ac:dyDescent="0.3">
      <c r="B36" s="1158" t="s">
        <v>888</v>
      </c>
      <c r="C36" s="1057">
        <v>20384</v>
      </c>
      <c r="D36" s="1057">
        <v>20500</v>
      </c>
      <c r="E36" s="1057">
        <v>20700</v>
      </c>
      <c r="F36" s="1057">
        <v>21000</v>
      </c>
    </row>
    <row r="37" spans="2:6" ht="12.6" customHeight="1" thickBot="1" x14ac:dyDescent="0.3">
      <c r="B37" s="2979" t="s">
        <v>66</v>
      </c>
      <c r="C37" s="2980"/>
      <c r="D37" s="2980"/>
      <c r="E37" s="2980"/>
      <c r="F37" s="2981"/>
    </row>
    <row r="38" spans="2:6" ht="12.6" customHeight="1" thickBot="1" x14ac:dyDescent="0.3">
      <c r="B38" s="2979" t="s">
        <v>121</v>
      </c>
      <c r="C38" s="2980"/>
      <c r="D38" s="2980"/>
      <c r="E38" s="2980"/>
      <c r="F38" s="2981"/>
    </row>
    <row r="39" spans="2:6" ht="23.45" customHeight="1" thickBot="1" x14ac:dyDescent="0.3">
      <c r="B39" s="1066" t="s">
        <v>45</v>
      </c>
      <c r="C39" s="2985" t="s">
        <v>889</v>
      </c>
      <c r="D39" s="2986"/>
      <c r="E39" s="2986"/>
      <c r="F39" s="2987"/>
    </row>
    <row r="40" spans="2:6" ht="34.9" customHeight="1" thickBot="1" x14ac:dyDescent="0.3">
      <c r="B40" s="1158" t="s">
        <v>10</v>
      </c>
      <c r="C40" s="2530" t="s">
        <v>890</v>
      </c>
      <c r="D40" s="2531"/>
      <c r="E40" s="2531"/>
      <c r="F40" s="2532"/>
    </row>
    <row r="41" spans="2:6" ht="12.6" customHeight="1" thickBot="1" x14ac:dyDescent="0.3">
      <c r="B41" s="1067" t="s">
        <v>13</v>
      </c>
      <c r="C41" s="2564" t="s">
        <v>891</v>
      </c>
      <c r="D41" s="2565"/>
      <c r="E41" s="2565"/>
      <c r="F41" s="2566"/>
    </row>
    <row r="42" spans="2:6" ht="12.6" customHeight="1" x14ac:dyDescent="0.25">
      <c r="B42" s="2974"/>
      <c r="C42" s="828">
        <v>2018</v>
      </c>
      <c r="D42" s="828">
        <v>2019</v>
      </c>
      <c r="E42" s="828">
        <v>2020</v>
      </c>
      <c r="F42" s="828">
        <v>2021</v>
      </c>
    </row>
    <row r="43" spans="2:6" ht="12.6" customHeight="1" thickBot="1" x14ac:dyDescent="0.3">
      <c r="B43" s="2975"/>
      <c r="C43" s="827" t="s">
        <v>6</v>
      </c>
      <c r="D43" s="827" t="s">
        <v>7</v>
      </c>
      <c r="E43" s="827" t="s">
        <v>7</v>
      </c>
      <c r="F43" s="827" t="s">
        <v>7</v>
      </c>
    </row>
    <row r="44" spans="2:6" ht="12.6" customHeight="1" thickBot="1" x14ac:dyDescent="0.3">
      <c r="B44" s="1158" t="s">
        <v>9</v>
      </c>
      <c r="C44" s="1068">
        <v>45</v>
      </c>
      <c r="D44" s="1068">
        <v>45</v>
      </c>
      <c r="E44" s="1068">
        <v>45</v>
      </c>
      <c r="F44" s="1068">
        <v>45</v>
      </c>
    </row>
    <row r="45" spans="2:6" ht="12.6" customHeight="1" thickBot="1" x14ac:dyDescent="0.3">
      <c r="B45" s="1067" t="s">
        <v>14</v>
      </c>
      <c r="C45" s="1069">
        <v>120500</v>
      </c>
      <c r="D45" s="1069">
        <v>130000</v>
      </c>
      <c r="E45" s="1069">
        <v>140000</v>
      </c>
      <c r="F45" s="1069">
        <v>150000</v>
      </c>
    </row>
    <row r="46" spans="2:6" ht="12.6" customHeight="1" thickBot="1" x14ac:dyDescent="0.3">
      <c r="B46" s="1067" t="s">
        <v>23</v>
      </c>
      <c r="C46" s="1069">
        <f>C45/C44</f>
        <v>2677.7777777777778</v>
      </c>
      <c r="D46" s="1069">
        <f>D45/D44</f>
        <v>2888.8888888888887</v>
      </c>
      <c r="E46" s="1069">
        <f>E45/E44</f>
        <v>3111.1111111111113</v>
      </c>
      <c r="F46" s="1069">
        <f>F45/F44</f>
        <v>3333.3333333333335</v>
      </c>
    </row>
    <row r="47" spans="2:6" ht="12.6" customHeight="1" thickBot="1" x14ac:dyDescent="0.3">
      <c r="B47" s="1158" t="s">
        <v>15</v>
      </c>
      <c r="C47" s="1152" t="s">
        <v>21</v>
      </c>
      <c r="D47" s="1070">
        <f t="shared" ref="D47:F49" si="0">D44/C44-1</f>
        <v>0</v>
      </c>
      <c r="E47" s="1070">
        <f t="shared" si="0"/>
        <v>0</v>
      </c>
      <c r="F47" s="1070">
        <f t="shared" si="0"/>
        <v>0</v>
      </c>
    </row>
    <row r="48" spans="2:6" ht="12.6" customHeight="1" thickBot="1" x14ac:dyDescent="0.3">
      <c r="B48" s="1158" t="s">
        <v>16</v>
      </c>
      <c r="C48" s="1152" t="s">
        <v>21</v>
      </c>
      <c r="D48" s="1070">
        <f t="shared" si="0"/>
        <v>7.8838174273858863E-2</v>
      </c>
      <c r="E48" s="1070">
        <f t="shared" si="0"/>
        <v>7.6923076923076872E-2</v>
      </c>
      <c r="F48" s="1070">
        <f t="shared" si="0"/>
        <v>7.1428571428571397E-2</v>
      </c>
    </row>
    <row r="49" spans="2:6" ht="12.6" customHeight="1" thickBot="1" x14ac:dyDescent="0.3">
      <c r="B49" s="1158" t="s">
        <v>17</v>
      </c>
      <c r="C49" s="1152" t="s">
        <v>21</v>
      </c>
      <c r="D49" s="1070">
        <f t="shared" si="0"/>
        <v>7.8838174273858863E-2</v>
      </c>
      <c r="E49" s="1070">
        <f t="shared" si="0"/>
        <v>7.6923076923077094E-2</v>
      </c>
      <c r="F49" s="1070">
        <f t="shared" si="0"/>
        <v>7.1428571428571397E-2</v>
      </c>
    </row>
    <row r="50" spans="2:6" ht="12.6" customHeight="1" thickBot="1" x14ac:dyDescent="0.3">
      <c r="B50" s="2976" t="s">
        <v>707</v>
      </c>
      <c r="C50" s="2977"/>
      <c r="D50" s="2977"/>
      <c r="E50" s="2977"/>
      <c r="F50" s="2978"/>
    </row>
    <row r="51" spans="2:6" ht="12.6" customHeight="1" x14ac:dyDescent="0.25">
      <c r="B51" s="2974"/>
      <c r="C51" s="828">
        <v>2018</v>
      </c>
      <c r="D51" s="828">
        <v>2019</v>
      </c>
      <c r="E51" s="828">
        <v>2020</v>
      </c>
      <c r="F51" s="828">
        <v>2021</v>
      </c>
    </row>
    <row r="52" spans="2:6" ht="12.6" customHeight="1" thickBot="1" x14ac:dyDescent="0.3">
      <c r="B52" s="2975"/>
      <c r="C52" s="827" t="s">
        <v>6</v>
      </c>
      <c r="D52" s="827" t="s">
        <v>7</v>
      </c>
      <c r="E52" s="827" t="s">
        <v>7</v>
      </c>
      <c r="F52" s="827" t="s">
        <v>7</v>
      </c>
    </row>
    <row r="53" spans="2:6" ht="12.6" customHeight="1" thickBot="1" x14ac:dyDescent="0.3">
      <c r="B53" s="981" t="s">
        <v>0</v>
      </c>
      <c r="C53" s="818"/>
      <c r="D53" s="818"/>
      <c r="E53" s="818"/>
      <c r="F53" s="818"/>
    </row>
    <row r="54" spans="2:6" ht="12.6" customHeight="1" thickBot="1" x14ac:dyDescent="0.3">
      <c r="B54" s="981" t="s">
        <v>49</v>
      </c>
      <c r="C54" s="818"/>
      <c r="D54" s="818"/>
      <c r="E54" s="818"/>
      <c r="F54" s="818"/>
    </row>
    <row r="55" spans="2:6" ht="12.6" customHeight="1" thickBot="1" x14ac:dyDescent="0.3">
      <c r="B55" s="981" t="s">
        <v>1</v>
      </c>
      <c r="C55" s="805">
        <v>14000</v>
      </c>
      <c r="D55" s="818"/>
      <c r="E55" s="818"/>
      <c r="F55" s="818"/>
    </row>
    <row r="56" spans="2:6" ht="12.6" customHeight="1" thickBot="1" x14ac:dyDescent="0.3">
      <c r="B56" s="981" t="s">
        <v>2</v>
      </c>
      <c r="C56" s="805"/>
      <c r="D56" s="818"/>
      <c r="E56" s="818"/>
      <c r="F56" s="818"/>
    </row>
    <row r="57" spans="2:6" ht="12.6" customHeight="1" thickBot="1" x14ac:dyDescent="0.3">
      <c r="B57" s="981" t="s">
        <v>28</v>
      </c>
      <c r="C57" s="794">
        <f>C45</f>
        <v>120500</v>
      </c>
      <c r="D57" s="794">
        <f>D45</f>
        <v>130000</v>
      </c>
      <c r="E57" s="794">
        <f>E45</f>
        <v>140000</v>
      </c>
      <c r="F57" s="794">
        <f>F45</f>
        <v>150000</v>
      </c>
    </row>
    <row r="58" spans="2:6" ht="12.6" customHeight="1" thickBot="1" x14ac:dyDescent="0.3">
      <c r="B58" s="981" t="s">
        <v>30</v>
      </c>
      <c r="C58" s="805"/>
      <c r="D58" s="818"/>
      <c r="E58" s="818"/>
      <c r="F58" s="818"/>
    </row>
    <row r="59" spans="2:6" ht="12.6" customHeight="1" thickBot="1" x14ac:dyDescent="0.3">
      <c r="B59" s="981" t="s">
        <v>3</v>
      </c>
      <c r="C59" s="805"/>
      <c r="D59" s="818"/>
      <c r="E59" s="818"/>
      <c r="F59" s="818"/>
    </row>
    <row r="60" spans="2:6" ht="12.6" customHeight="1" thickBot="1" x14ac:dyDescent="0.3">
      <c r="B60" s="980" t="s">
        <v>68</v>
      </c>
      <c r="C60" s="794">
        <f>C59+C58+C57+C56+C55+C54+C53</f>
        <v>134500</v>
      </c>
      <c r="D60" s="794">
        <f>D59+D58+D57+D56+D55+D54+D53</f>
        <v>130000</v>
      </c>
      <c r="E60" s="794">
        <f>E59+E58+E57+E56+E55+E54+E53</f>
        <v>140000</v>
      </c>
      <c r="F60" s="794">
        <f>F59+F58+F57+F56+F55+F54+F53</f>
        <v>150000</v>
      </c>
    </row>
    <row r="61" spans="2:6" ht="12.6" customHeight="1" thickBot="1" x14ac:dyDescent="0.3">
      <c r="B61" s="1071" t="s">
        <v>70</v>
      </c>
      <c r="C61" s="801">
        <f>C60-C45</f>
        <v>14000</v>
      </c>
      <c r="D61" s="801">
        <f>D60-D45</f>
        <v>0</v>
      </c>
      <c r="E61" s="801">
        <f>E60-E45</f>
        <v>0</v>
      </c>
      <c r="F61" s="801">
        <f>F60-F45</f>
        <v>0</v>
      </c>
    </row>
    <row r="62" spans="2:6" ht="12.6" customHeight="1" thickBot="1" x14ac:dyDescent="0.3">
      <c r="B62" s="2979" t="s">
        <v>66</v>
      </c>
      <c r="C62" s="2980"/>
      <c r="D62" s="2980"/>
      <c r="E62" s="2980"/>
      <c r="F62" s="2981"/>
    </row>
    <row r="63" spans="2:6" ht="23.45" customHeight="1" thickBot="1" x14ac:dyDescent="0.3">
      <c r="B63" s="1066" t="s">
        <v>892</v>
      </c>
      <c r="C63" s="2982" t="s">
        <v>893</v>
      </c>
      <c r="D63" s="2983"/>
      <c r="E63" s="2983"/>
      <c r="F63" s="2984"/>
    </row>
    <row r="64" spans="2:6" ht="44.45" customHeight="1" thickBot="1" x14ac:dyDescent="0.3">
      <c r="B64" s="1158" t="s">
        <v>10</v>
      </c>
      <c r="C64" s="2530" t="s">
        <v>894</v>
      </c>
      <c r="D64" s="2531"/>
      <c r="E64" s="2531"/>
      <c r="F64" s="2532"/>
    </row>
    <row r="65" spans="2:6" ht="12.6" customHeight="1" thickBot="1" x14ac:dyDescent="0.3">
      <c r="B65" s="1158" t="s">
        <v>13</v>
      </c>
      <c r="C65" s="2533" t="s">
        <v>880</v>
      </c>
      <c r="D65" s="2534"/>
      <c r="E65" s="2534"/>
      <c r="F65" s="2535"/>
    </row>
    <row r="66" spans="2:6" ht="12.6" customHeight="1" x14ac:dyDescent="0.25">
      <c r="B66" s="2974"/>
      <c r="C66" s="828">
        <v>2018</v>
      </c>
      <c r="D66" s="828">
        <v>2019</v>
      </c>
      <c r="E66" s="828">
        <v>2020</v>
      </c>
      <c r="F66" s="828">
        <v>2021</v>
      </c>
    </row>
    <row r="67" spans="2:6" ht="12.6" customHeight="1" thickBot="1" x14ac:dyDescent="0.3">
      <c r="B67" s="2975"/>
      <c r="C67" s="827" t="s">
        <v>6</v>
      </c>
      <c r="D67" s="827" t="s">
        <v>7</v>
      </c>
      <c r="E67" s="827" t="s">
        <v>7</v>
      </c>
      <c r="F67" s="827" t="s">
        <v>7</v>
      </c>
    </row>
    <row r="68" spans="2:6" ht="12.6" customHeight="1" thickBot="1" x14ac:dyDescent="0.3">
      <c r="B68" s="1158" t="s">
        <v>9</v>
      </c>
      <c r="C68" s="1072">
        <v>142</v>
      </c>
      <c r="D68" s="1072">
        <v>142</v>
      </c>
      <c r="E68" s="1072">
        <v>142</v>
      </c>
      <c r="F68" s="1072">
        <v>142</v>
      </c>
    </row>
    <row r="69" spans="2:6" ht="12.6" customHeight="1" thickBot="1" x14ac:dyDescent="0.3">
      <c r="B69" s="1158" t="s">
        <v>14</v>
      </c>
      <c r="C69" s="1069">
        <v>50000</v>
      </c>
      <c r="D69" s="1069">
        <v>60000</v>
      </c>
      <c r="E69" s="1069">
        <v>70000</v>
      </c>
      <c r="F69" s="1069">
        <v>80000</v>
      </c>
    </row>
    <row r="70" spans="2:6" ht="12.6" customHeight="1" thickBot="1" x14ac:dyDescent="0.3">
      <c r="B70" s="1158" t="s">
        <v>23</v>
      </c>
      <c r="C70" s="1073">
        <f>C69/C68</f>
        <v>352.11267605633805</v>
      </c>
      <c r="D70" s="1073">
        <f>D69/D68</f>
        <v>422.53521126760563</v>
      </c>
      <c r="E70" s="1073">
        <f>E69/E68</f>
        <v>492.95774647887322</v>
      </c>
      <c r="F70" s="1073">
        <f>F69/F68</f>
        <v>563.38028169014081</v>
      </c>
    </row>
    <row r="71" spans="2:6" ht="12.6" customHeight="1" thickBot="1" x14ac:dyDescent="0.3">
      <c r="B71" s="1158" t="s">
        <v>15</v>
      </c>
      <c r="C71" s="1152"/>
      <c r="D71" s="1070">
        <f t="shared" ref="D71:F73" si="1">D68/C68-1</f>
        <v>0</v>
      </c>
      <c r="E71" s="1070">
        <f t="shared" si="1"/>
        <v>0</v>
      </c>
      <c r="F71" s="1070">
        <f t="shared" si="1"/>
        <v>0</v>
      </c>
    </row>
    <row r="72" spans="2:6" ht="12.6" customHeight="1" thickBot="1" x14ac:dyDescent="0.3">
      <c r="B72" s="1158" t="s">
        <v>16</v>
      </c>
      <c r="C72" s="1152"/>
      <c r="D72" s="1070">
        <f t="shared" si="1"/>
        <v>0.19999999999999996</v>
      </c>
      <c r="E72" s="1070">
        <f t="shared" si="1"/>
        <v>0.16666666666666674</v>
      </c>
      <c r="F72" s="1070">
        <f t="shared" si="1"/>
        <v>0.14285714285714279</v>
      </c>
    </row>
    <row r="73" spans="2:6" ht="12.6" customHeight="1" thickBot="1" x14ac:dyDescent="0.3">
      <c r="B73" s="1158" t="s">
        <v>17</v>
      </c>
      <c r="C73" s="1152"/>
      <c r="D73" s="1070">
        <f t="shared" si="1"/>
        <v>0.19999999999999996</v>
      </c>
      <c r="E73" s="1070">
        <f t="shared" si="1"/>
        <v>0.16666666666666652</v>
      </c>
      <c r="F73" s="1070">
        <f t="shared" si="1"/>
        <v>0.14285714285714279</v>
      </c>
    </row>
    <row r="74" spans="2:6" ht="12.6" customHeight="1" thickBot="1" x14ac:dyDescent="0.3">
      <c r="B74" s="2976" t="s">
        <v>895</v>
      </c>
      <c r="C74" s="2977"/>
      <c r="D74" s="2977"/>
      <c r="E74" s="2977"/>
      <c r="F74" s="2978"/>
    </row>
    <row r="75" spans="2:6" ht="12.6" customHeight="1" x14ac:dyDescent="0.25">
      <c r="B75" s="2974"/>
      <c r="C75" s="828">
        <v>2018</v>
      </c>
      <c r="D75" s="828">
        <v>2019</v>
      </c>
      <c r="E75" s="828">
        <v>2020</v>
      </c>
      <c r="F75" s="828">
        <v>2021</v>
      </c>
    </row>
    <row r="76" spans="2:6" ht="12.6" customHeight="1" thickBot="1" x14ac:dyDescent="0.3">
      <c r="B76" s="2975"/>
      <c r="C76" s="827" t="s">
        <v>6</v>
      </c>
      <c r="D76" s="827" t="s">
        <v>7</v>
      </c>
      <c r="E76" s="827" t="s">
        <v>7</v>
      </c>
      <c r="F76" s="827" t="s">
        <v>7</v>
      </c>
    </row>
    <row r="77" spans="2:6" ht="12.6" customHeight="1" thickBot="1" x14ac:dyDescent="0.3">
      <c r="B77" s="981" t="s">
        <v>0</v>
      </c>
      <c r="C77" s="818"/>
      <c r="D77" s="818"/>
      <c r="E77" s="818"/>
      <c r="F77" s="818"/>
    </row>
    <row r="78" spans="2:6" ht="12.6" customHeight="1" thickBot="1" x14ac:dyDescent="0.3">
      <c r="B78" s="981" t="s">
        <v>49</v>
      </c>
      <c r="C78" s="818"/>
      <c r="D78" s="818"/>
      <c r="E78" s="818"/>
      <c r="F78" s="818"/>
    </row>
    <row r="79" spans="2:6" ht="12.6" customHeight="1" thickBot="1" x14ac:dyDescent="0.3">
      <c r="B79" s="981" t="s">
        <v>1</v>
      </c>
      <c r="C79" s="805"/>
      <c r="D79" s="818"/>
      <c r="E79" s="818"/>
      <c r="F79" s="818"/>
    </row>
    <row r="80" spans="2:6" ht="12.6" customHeight="1" thickBot="1" x14ac:dyDescent="0.3">
      <c r="B80" s="981" t="s">
        <v>2</v>
      </c>
      <c r="C80" s="805"/>
      <c r="D80" s="818"/>
      <c r="E80" s="818"/>
      <c r="F80" s="818"/>
    </row>
    <row r="81" spans="2:6" ht="12.6" customHeight="1" thickBot="1" x14ac:dyDescent="0.3">
      <c r="B81" s="981" t="s">
        <v>28</v>
      </c>
      <c r="C81" s="805">
        <f>C69</f>
        <v>50000</v>
      </c>
      <c r="D81" s="818">
        <f>D69</f>
        <v>60000</v>
      </c>
      <c r="E81" s="818">
        <f>E69</f>
        <v>70000</v>
      </c>
      <c r="F81" s="818">
        <f>F69</f>
        <v>80000</v>
      </c>
    </row>
    <row r="82" spans="2:6" ht="12.6" customHeight="1" thickBot="1" x14ac:dyDescent="0.3">
      <c r="B82" s="981" t="s">
        <v>30</v>
      </c>
      <c r="C82" s="805"/>
      <c r="D82" s="818"/>
      <c r="E82" s="818"/>
      <c r="F82" s="818"/>
    </row>
    <row r="83" spans="2:6" ht="12.6" customHeight="1" thickBot="1" x14ac:dyDescent="0.3">
      <c r="B83" s="981" t="s">
        <v>3</v>
      </c>
      <c r="C83" s="805"/>
      <c r="D83" s="818"/>
      <c r="E83" s="818"/>
      <c r="F83" s="818"/>
    </row>
    <row r="84" spans="2:6" ht="12.6" customHeight="1" thickBot="1" x14ac:dyDescent="0.3">
      <c r="B84" s="1074" t="s">
        <v>71</v>
      </c>
      <c r="C84" s="794">
        <f>C83+C82+C81+C80+C79+C78+C77</f>
        <v>50000</v>
      </c>
      <c r="D84" s="794">
        <f>D83+D82+D81+D80+D79+D78+D77</f>
        <v>60000</v>
      </c>
      <c r="E84" s="794">
        <f>E83+E82+E81+E80+E79+E78+E77</f>
        <v>70000</v>
      </c>
      <c r="F84" s="794">
        <f>F83+F82+F81+F80+F79+F78+F77</f>
        <v>80000</v>
      </c>
    </row>
    <row r="85" spans="2:6" ht="12.6" customHeight="1" thickBot="1" x14ac:dyDescent="0.3">
      <c r="B85" s="1071" t="s">
        <v>70</v>
      </c>
      <c r="C85" s="1075">
        <f>IF(C84-C69=0,0,"Error")</f>
        <v>0</v>
      </c>
      <c r="D85" s="1075">
        <f>IF(D84-D69=0,0,"Error")</f>
        <v>0</v>
      </c>
      <c r="E85" s="1075">
        <f>IF(E84-E69=0,0,"Error")</f>
        <v>0</v>
      </c>
      <c r="F85" s="1075">
        <f>IF(F84-F69=0,0,"Error")</f>
        <v>0</v>
      </c>
    </row>
    <row r="86" spans="2:6" ht="12.6" customHeight="1" thickBot="1" x14ac:dyDescent="0.3">
      <c r="B86" s="2979" t="s">
        <v>66</v>
      </c>
      <c r="C86" s="2980"/>
      <c r="D86" s="2980"/>
      <c r="E86" s="2980"/>
      <c r="F86" s="2981"/>
    </row>
    <row r="87" spans="2:6" ht="12.6" customHeight="1" thickBot="1" x14ac:dyDescent="0.3">
      <c r="B87" s="2979" t="s">
        <v>100</v>
      </c>
      <c r="C87" s="2980"/>
      <c r="D87" s="2980"/>
      <c r="E87" s="2980"/>
      <c r="F87" s="2981"/>
    </row>
    <row r="88" spans="2:6" ht="12.6" customHeight="1" thickBot="1" x14ac:dyDescent="0.3">
      <c r="B88" s="2979" t="s">
        <v>101</v>
      </c>
      <c r="C88" s="2980"/>
      <c r="D88" s="2980"/>
      <c r="E88" s="2980"/>
      <c r="F88" s="2981"/>
    </row>
    <row r="89" spans="2:6" ht="12.6" customHeight="1" thickBot="1" x14ac:dyDescent="0.3">
      <c r="B89" s="1076" t="s">
        <v>114</v>
      </c>
      <c r="C89" s="2988" t="s">
        <v>46</v>
      </c>
      <c r="D89" s="2989"/>
      <c r="E89" s="2989"/>
      <c r="F89" s="2990"/>
    </row>
    <row r="90" spans="2:6" ht="19.899999999999999" customHeight="1" thickBot="1" x14ac:dyDescent="0.3">
      <c r="B90" s="1077" t="s">
        <v>896</v>
      </c>
      <c r="C90" s="2991" t="s">
        <v>897</v>
      </c>
      <c r="D90" s="2991"/>
      <c r="E90" s="2991"/>
      <c r="F90" s="2991"/>
    </row>
    <row r="91" spans="2:6" ht="12.6" customHeight="1" x14ac:dyDescent="0.25">
      <c r="B91" s="2992" t="s">
        <v>10</v>
      </c>
      <c r="C91" s="2994" t="s">
        <v>898</v>
      </c>
      <c r="D91" s="2994"/>
      <c r="E91" s="2994"/>
      <c r="F91" s="2994"/>
    </row>
    <row r="92" spans="2:6" ht="16.149999999999999" customHeight="1" thickBot="1" x14ac:dyDescent="0.3">
      <c r="B92" s="2993"/>
      <c r="C92" s="2994"/>
      <c r="D92" s="2994"/>
      <c r="E92" s="2994"/>
      <c r="F92" s="2994"/>
    </row>
    <row r="93" spans="2:6" ht="12.6" customHeight="1" thickBot="1" x14ac:dyDescent="0.3">
      <c r="B93" s="1160" t="s">
        <v>13</v>
      </c>
      <c r="C93" s="2995" t="s">
        <v>899</v>
      </c>
      <c r="D93" s="2995"/>
      <c r="E93" s="2995"/>
      <c r="F93" s="2995"/>
    </row>
    <row r="94" spans="2:6" ht="12.6" customHeight="1" x14ac:dyDescent="0.25">
      <c r="B94" s="2974"/>
      <c r="C94" s="828">
        <v>2018</v>
      </c>
      <c r="D94" s="828">
        <v>2019</v>
      </c>
      <c r="E94" s="828">
        <v>2020</v>
      </c>
      <c r="F94" s="828">
        <v>2021</v>
      </c>
    </row>
    <row r="95" spans="2:6" ht="12.6" customHeight="1" thickBot="1" x14ac:dyDescent="0.3">
      <c r="B95" s="2975"/>
      <c r="C95" s="827" t="s">
        <v>6</v>
      </c>
      <c r="D95" s="827" t="s">
        <v>7</v>
      </c>
      <c r="E95" s="827" t="s">
        <v>7</v>
      </c>
      <c r="F95" s="827" t="s">
        <v>7</v>
      </c>
    </row>
    <row r="96" spans="2:6" ht="12.6" customHeight="1" thickBot="1" x14ac:dyDescent="0.3">
      <c r="B96" s="1158" t="s">
        <v>9</v>
      </c>
      <c r="C96" s="1069">
        <v>3</v>
      </c>
      <c r="D96" s="1069">
        <v>6</v>
      </c>
      <c r="E96" s="1069">
        <v>6</v>
      </c>
      <c r="F96" s="1069">
        <v>6</v>
      </c>
    </row>
    <row r="97" spans="2:6" ht="12.6" customHeight="1" thickBot="1" x14ac:dyDescent="0.3">
      <c r="B97" s="1158" t="s">
        <v>14</v>
      </c>
      <c r="C97" s="1069">
        <v>259816</v>
      </c>
      <c r="D97" s="1069">
        <v>350000</v>
      </c>
      <c r="E97" s="1069">
        <v>350000</v>
      </c>
      <c r="F97" s="1069">
        <v>350000</v>
      </c>
    </row>
    <row r="98" spans="2:6" ht="12.6" customHeight="1" thickBot="1" x14ac:dyDescent="0.3">
      <c r="B98" s="1158" t="s">
        <v>23</v>
      </c>
      <c r="C98" s="1069">
        <f>C97/C96</f>
        <v>86605.333333333328</v>
      </c>
      <c r="D98" s="1069">
        <f>D97/D96</f>
        <v>58333.333333333336</v>
      </c>
      <c r="E98" s="1069">
        <f>E97/E96</f>
        <v>58333.333333333336</v>
      </c>
      <c r="F98" s="1069">
        <f>F97/F96</f>
        <v>58333.333333333336</v>
      </c>
    </row>
    <row r="99" spans="2:6" ht="12.6" customHeight="1" thickBot="1" x14ac:dyDescent="0.3">
      <c r="B99" s="1158" t="s">
        <v>15</v>
      </c>
      <c r="C99" s="1152" t="s">
        <v>21</v>
      </c>
      <c r="D99" s="1070">
        <f t="shared" ref="D99:F101" si="2">D96/C96-1</f>
        <v>1</v>
      </c>
      <c r="E99" s="1070">
        <f t="shared" si="2"/>
        <v>0</v>
      </c>
      <c r="F99" s="1070">
        <f t="shared" si="2"/>
        <v>0</v>
      </c>
    </row>
    <row r="100" spans="2:6" ht="12.6" customHeight="1" thickBot="1" x14ac:dyDescent="0.3">
      <c r="B100" s="1158" t="s">
        <v>16</v>
      </c>
      <c r="C100" s="1152" t="s">
        <v>21</v>
      </c>
      <c r="D100" s="1070">
        <f t="shared" si="2"/>
        <v>0.34710718354527814</v>
      </c>
      <c r="E100" s="1070">
        <f t="shared" si="2"/>
        <v>0</v>
      </c>
      <c r="F100" s="1070">
        <f t="shared" si="2"/>
        <v>0</v>
      </c>
    </row>
    <row r="101" spans="2:6" ht="12.6" customHeight="1" thickBot="1" x14ac:dyDescent="0.3">
      <c r="B101" s="1158" t="s">
        <v>17</v>
      </c>
      <c r="C101" s="1152" t="s">
        <v>21</v>
      </c>
      <c r="D101" s="1070">
        <f t="shared" si="2"/>
        <v>-0.32644640822736082</v>
      </c>
      <c r="E101" s="1070">
        <f t="shared" si="2"/>
        <v>0</v>
      </c>
      <c r="F101" s="1070">
        <f t="shared" si="2"/>
        <v>0</v>
      </c>
    </row>
    <row r="102" spans="2:6" ht="12.6" customHeight="1" thickBot="1" x14ac:dyDescent="0.3">
      <c r="B102" s="2976" t="s">
        <v>895</v>
      </c>
      <c r="C102" s="2977"/>
      <c r="D102" s="2977"/>
      <c r="E102" s="2977"/>
      <c r="F102" s="2978"/>
    </row>
    <row r="103" spans="2:6" ht="12.6" customHeight="1" x14ac:dyDescent="0.25">
      <c r="B103" s="2974"/>
      <c r="C103" s="828">
        <v>2018</v>
      </c>
      <c r="D103" s="828">
        <v>2019</v>
      </c>
      <c r="E103" s="828">
        <v>2020</v>
      </c>
      <c r="F103" s="828">
        <v>2021</v>
      </c>
    </row>
    <row r="104" spans="2:6" ht="12.6" customHeight="1" thickBot="1" x14ac:dyDescent="0.3">
      <c r="B104" s="2975"/>
      <c r="C104" s="827" t="s">
        <v>6</v>
      </c>
      <c r="D104" s="827" t="s">
        <v>7</v>
      </c>
      <c r="E104" s="827" t="s">
        <v>7</v>
      </c>
      <c r="F104" s="827" t="s">
        <v>7</v>
      </c>
    </row>
    <row r="105" spans="2:6" ht="12.6" customHeight="1" thickBot="1" x14ac:dyDescent="0.3">
      <c r="B105" s="1" t="s">
        <v>104</v>
      </c>
      <c r="C105" s="8">
        <v>0</v>
      </c>
      <c r="D105" s="8">
        <v>0</v>
      </c>
      <c r="E105" s="8">
        <v>0</v>
      </c>
      <c r="F105" s="8">
        <v>0</v>
      </c>
    </row>
    <row r="106" spans="2:6" ht="12.6" customHeight="1" thickBot="1" x14ac:dyDescent="0.3">
      <c r="B106" s="1" t="s">
        <v>105</v>
      </c>
      <c r="C106" s="1069">
        <f>C97</f>
        <v>259816</v>
      </c>
      <c r="D106" s="1069">
        <f>D97</f>
        <v>350000</v>
      </c>
      <c r="E106" s="1069">
        <f>E97</f>
        <v>350000</v>
      </c>
      <c r="F106" s="1069">
        <f>F97</f>
        <v>350000</v>
      </c>
    </row>
    <row r="107" spans="2:6" ht="33.6" customHeight="1" thickBot="1" x14ac:dyDescent="0.3">
      <c r="B107" s="20" t="s">
        <v>71</v>
      </c>
      <c r="C107" s="1069">
        <f>C97</f>
        <v>259816</v>
      </c>
      <c r="D107" s="1069">
        <f>D106+D105</f>
        <v>350000</v>
      </c>
      <c r="E107" s="1069">
        <f>E106+E105</f>
        <v>350000</v>
      </c>
      <c r="F107" s="1069">
        <f>F106+F105</f>
        <v>350000</v>
      </c>
    </row>
    <row r="108" spans="2:6" ht="12.6" customHeight="1" thickBot="1" x14ac:dyDescent="0.3">
      <c r="B108" s="1071" t="s">
        <v>70</v>
      </c>
      <c r="C108" s="801">
        <f>C107-C97</f>
        <v>0</v>
      </c>
      <c r="D108" s="801">
        <f>D107-D97</f>
        <v>0</v>
      </c>
      <c r="E108" s="801">
        <f>E107-E97</f>
        <v>0</v>
      </c>
      <c r="F108" s="801">
        <f>F107-F97</f>
        <v>0</v>
      </c>
    </row>
    <row r="109" spans="2:6" ht="12.6" customHeight="1" thickBot="1" x14ac:dyDescent="0.3">
      <c r="B109" s="2979" t="s">
        <v>67</v>
      </c>
      <c r="C109" s="2980"/>
      <c r="D109" s="2980"/>
      <c r="E109" s="2980"/>
      <c r="F109" s="2981"/>
    </row>
    <row r="110" spans="2:6" ht="12.6" customHeight="1" thickBot="1" x14ac:dyDescent="0.3">
      <c r="B110" s="1066" t="s">
        <v>45</v>
      </c>
      <c r="C110" s="2997" t="s">
        <v>900</v>
      </c>
      <c r="D110" s="2998"/>
      <c r="E110" s="2998"/>
      <c r="F110" s="2999"/>
    </row>
    <row r="111" spans="2:6" ht="22.15" customHeight="1" thickBot="1" x14ac:dyDescent="0.3">
      <c r="B111" s="1158" t="s">
        <v>10</v>
      </c>
      <c r="C111" s="2530" t="s">
        <v>901</v>
      </c>
      <c r="D111" s="2531"/>
      <c r="E111" s="2531"/>
      <c r="F111" s="2532"/>
    </row>
    <row r="112" spans="2:6" ht="12.6" customHeight="1" thickBot="1" x14ac:dyDescent="0.3">
      <c r="B112" s="1158" t="s">
        <v>13</v>
      </c>
      <c r="C112" s="2533" t="s">
        <v>902</v>
      </c>
      <c r="D112" s="2534"/>
      <c r="E112" s="2534"/>
      <c r="F112" s="2535"/>
    </row>
    <row r="113" spans="2:6" ht="12.6" customHeight="1" x14ac:dyDescent="0.25">
      <c r="B113" s="2974"/>
      <c r="C113" s="828">
        <v>2018</v>
      </c>
      <c r="D113" s="828">
        <v>2019</v>
      </c>
      <c r="E113" s="828">
        <v>2020</v>
      </c>
      <c r="F113" s="828">
        <v>2021</v>
      </c>
    </row>
    <row r="114" spans="2:6" ht="12.6" customHeight="1" thickBot="1" x14ac:dyDescent="0.3">
      <c r="B114" s="2975"/>
      <c r="C114" s="827" t="s">
        <v>6</v>
      </c>
      <c r="D114" s="827" t="s">
        <v>7</v>
      </c>
      <c r="E114" s="827" t="s">
        <v>7</v>
      </c>
      <c r="F114" s="827" t="s">
        <v>7</v>
      </c>
    </row>
    <row r="115" spans="2:6" ht="12.6" customHeight="1" thickBot="1" x14ac:dyDescent="0.3">
      <c r="B115" s="1158" t="s">
        <v>9</v>
      </c>
      <c r="C115" s="1072">
        <v>4</v>
      </c>
      <c r="D115" s="1072">
        <v>4</v>
      </c>
      <c r="E115" s="1072">
        <v>4</v>
      </c>
      <c r="F115" s="1072">
        <v>4</v>
      </c>
    </row>
    <row r="116" spans="2:6" ht="18" customHeight="1" thickBot="1" x14ac:dyDescent="0.3">
      <c r="B116" s="1158" t="s">
        <v>14</v>
      </c>
      <c r="C116" s="1069">
        <v>2000</v>
      </c>
      <c r="D116" s="1069">
        <v>2000</v>
      </c>
      <c r="E116" s="1069">
        <v>2000</v>
      </c>
      <c r="F116" s="1069">
        <v>2000</v>
      </c>
    </row>
    <row r="117" spans="2:6" ht="12.6" customHeight="1" thickBot="1" x14ac:dyDescent="0.3">
      <c r="B117" s="1158" t="s">
        <v>23</v>
      </c>
      <c r="C117" s="1073">
        <f>C116/C115</f>
        <v>500</v>
      </c>
      <c r="D117" s="1073">
        <f>D116/D115</f>
        <v>500</v>
      </c>
      <c r="E117" s="1073">
        <f>E116/E115</f>
        <v>500</v>
      </c>
      <c r="F117" s="1073">
        <f>F116/F115</f>
        <v>500</v>
      </c>
    </row>
    <row r="118" spans="2:6" ht="12.6" customHeight="1" thickBot="1" x14ac:dyDescent="0.3">
      <c r="B118" s="1158" t="s">
        <v>15</v>
      </c>
      <c r="C118" s="1152"/>
      <c r="D118" s="1070">
        <f t="shared" ref="D118:F120" si="3">D115/C115-1</f>
        <v>0</v>
      </c>
      <c r="E118" s="1070">
        <f t="shared" si="3"/>
        <v>0</v>
      </c>
      <c r="F118" s="1070">
        <f t="shared" si="3"/>
        <v>0</v>
      </c>
    </row>
    <row r="119" spans="2:6" ht="12.6" customHeight="1" thickBot="1" x14ac:dyDescent="0.3">
      <c r="B119" s="1158" t="s">
        <v>16</v>
      </c>
      <c r="C119" s="1152"/>
      <c r="D119" s="1070">
        <f t="shared" si="3"/>
        <v>0</v>
      </c>
      <c r="E119" s="1070">
        <f t="shared" si="3"/>
        <v>0</v>
      </c>
      <c r="F119" s="1070">
        <f t="shared" si="3"/>
        <v>0</v>
      </c>
    </row>
    <row r="120" spans="2:6" ht="12.6" customHeight="1" thickBot="1" x14ac:dyDescent="0.3">
      <c r="B120" s="1158" t="s">
        <v>17</v>
      </c>
      <c r="C120" s="1152"/>
      <c r="D120" s="1070">
        <f t="shared" si="3"/>
        <v>0</v>
      </c>
      <c r="E120" s="1070">
        <f t="shared" si="3"/>
        <v>0</v>
      </c>
      <c r="F120" s="1070">
        <f t="shared" si="3"/>
        <v>0</v>
      </c>
    </row>
    <row r="121" spans="2:6" ht="12.6" customHeight="1" thickBot="1" x14ac:dyDescent="0.3">
      <c r="B121" s="2976" t="s">
        <v>895</v>
      </c>
      <c r="C121" s="2977"/>
      <c r="D121" s="2977"/>
      <c r="E121" s="2977"/>
      <c r="F121" s="2978"/>
    </row>
    <row r="122" spans="2:6" ht="12.6" customHeight="1" x14ac:dyDescent="0.25">
      <c r="B122" s="2974"/>
      <c r="C122" s="828">
        <v>2018</v>
      </c>
      <c r="D122" s="828">
        <v>2019</v>
      </c>
      <c r="E122" s="828">
        <v>2020</v>
      </c>
      <c r="F122" s="828">
        <v>2021</v>
      </c>
    </row>
    <row r="123" spans="2:6" ht="12.6" customHeight="1" thickBot="1" x14ac:dyDescent="0.3">
      <c r="B123" s="2975"/>
      <c r="C123" s="827" t="s">
        <v>6</v>
      </c>
      <c r="D123" s="827" t="s">
        <v>7</v>
      </c>
      <c r="E123" s="827" t="s">
        <v>7</v>
      </c>
      <c r="F123" s="827" t="s">
        <v>7</v>
      </c>
    </row>
    <row r="124" spans="2:6" ht="12.6" customHeight="1" thickBot="1" x14ac:dyDescent="0.3">
      <c r="B124" s="981" t="s">
        <v>0</v>
      </c>
      <c r="C124" s="818"/>
      <c r="D124" s="818"/>
      <c r="E124" s="818"/>
      <c r="F124" s="818"/>
    </row>
    <row r="125" spans="2:6" ht="12.6" customHeight="1" thickBot="1" x14ac:dyDescent="0.3">
      <c r="B125" s="981" t="s">
        <v>49</v>
      </c>
      <c r="C125" s="818"/>
      <c r="D125" s="818"/>
      <c r="E125" s="818"/>
      <c r="F125" s="818"/>
    </row>
    <row r="126" spans="2:6" ht="12.6" customHeight="1" thickBot="1" x14ac:dyDescent="0.3">
      <c r="B126" s="981" t="s">
        <v>1</v>
      </c>
      <c r="C126" s="805"/>
      <c r="D126" s="818"/>
      <c r="E126" s="818"/>
      <c r="F126" s="818"/>
    </row>
    <row r="127" spans="2:6" ht="12.6" customHeight="1" thickBot="1" x14ac:dyDescent="0.3">
      <c r="B127" s="981" t="s">
        <v>2</v>
      </c>
      <c r="C127" s="805"/>
      <c r="D127" s="818"/>
      <c r="E127" s="818"/>
      <c r="F127" s="818"/>
    </row>
    <row r="128" spans="2:6" ht="12.6" customHeight="1" thickBot="1" x14ac:dyDescent="0.3">
      <c r="B128" s="981" t="s">
        <v>28</v>
      </c>
      <c r="C128" s="805">
        <f>C116</f>
        <v>2000</v>
      </c>
      <c r="D128" s="818">
        <f>D116</f>
        <v>2000</v>
      </c>
      <c r="E128" s="818">
        <f>E116</f>
        <v>2000</v>
      </c>
      <c r="F128" s="818">
        <f>F116</f>
        <v>2000</v>
      </c>
    </row>
    <row r="129" spans="2:6" ht="12.6" customHeight="1" thickBot="1" x14ac:dyDescent="0.3">
      <c r="B129" s="981" t="s">
        <v>30</v>
      </c>
      <c r="C129" s="805"/>
      <c r="D129" s="818"/>
      <c r="E129" s="818"/>
      <c r="F129" s="818"/>
    </row>
    <row r="130" spans="2:6" ht="12.6" customHeight="1" thickBot="1" x14ac:dyDescent="0.3">
      <c r="B130" s="981" t="s">
        <v>3</v>
      </c>
      <c r="C130" s="805"/>
      <c r="D130" s="818"/>
      <c r="E130" s="818"/>
      <c r="F130" s="818"/>
    </row>
    <row r="131" spans="2:6" ht="12.6" customHeight="1" thickBot="1" x14ac:dyDescent="0.3">
      <c r="B131" s="1074" t="s">
        <v>71</v>
      </c>
      <c r="C131" s="805">
        <f>C130+C129+C128+C127+C126+C125+C124</f>
        <v>2000</v>
      </c>
      <c r="D131" s="805">
        <f>D130+D129+D128+D127+D126+D125+D124</f>
        <v>2000</v>
      </c>
      <c r="E131" s="805">
        <f>E130+E129+E128+E127+E126+E125+E124</f>
        <v>2000</v>
      </c>
      <c r="F131" s="805">
        <f>F130+F129+F128+F127+F126+F125+F124</f>
        <v>2000</v>
      </c>
    </row>
    <row r="132" spans="2:6" ht="12.6" customHeight="1" thickBot="1" x14ac:dyDescent="0.3">
      <c r="B132" s="1071" t="s">
        <v>70</v>
      </c>
      <c r="C132" s="1075">
        <f>IF(C131-C116=0,0,"Error")</f>
        <v>0</v>
      </c>
      <c r="D132" s="1075">
        <f>IF(D131-D116=0,0,"Error")</f>
        <v>0</v>
      </c>
      <c r="E132" s="1075">
        <f>IF(E131-E116=0,0,"Error")</f>
        <v>0</v>
      </c>
      <c r="F132" s="1075">
        <f>IF(F131-F116=0,0,"Error")</f>
        <v>0</v>
      </c>
    </row>
    <row r="133" spans="2:6" ht="12.6" customHeight="1" thickBot="1" x14ac:dyDescent="0.3">
      <c r="B133" s="2979" t="s">
        <v>67</v>
      </c>
      <c r="C133" s="2980"/>
      <c r="D133" s="2980"/>
      <c r="E133" s="2980"/>
      <c r="F133" s="2981"/>
    </row>
    <row r="134" spans="2:6" ht="12.6" customHeight="1" thickBot="1" x14ac:dyDescent="0.3">
      <c r="B134" s="1078" t="s">
        <v>892</v>
      </c>
      <c r="C134" s="2996" t="s">
        <v>903</v>
      </c>
      <c r="D134" s="2996"/>
      <c r="E134" s="2996"/>
      <c r="F134" s="2996"/>
    </row>
    <row r="135" spans="2:6" ht="25.9" customHeight="1" thickBot="1" x14ac:dyDescent="0.3">
      <c r="B135" s="1160" t="s">
        <v>10</v>
      </c>
      <c r="C135" s="3011" t="s">
        <v>904</v>
      </c>
      <c r="D135" s="3011"/>
      <c r="E135" s="3011"/>
      <c r="F135" s="3011"/>
    </row>
    <row r="136" spans="2:6" ht="12.6" customHeight="1" thickBot="1" x14ac:dyDescent="0.3">
      <c r="B136" s="1160" t="s">
        <v>13</v>
      </c>
      <c r="C136" s="3012" t="s">
        <v>905</v>
      </c>
      <c r="D136" s="3012"/>
      <c r="E136" s="3012"/>
      <c r="F136" s="3012"/>
    </row>
    <row r="137" spans="2:6" ht="12.6" customHeight="1" x14ac:dyDescent="0.25">
      <c r="B137" s="2974"/>
      <c r="C137" s="828">
        <v>2018</v>
      </c>
      <c r="D137" s="828">
        <v>2019</v>
      </c>
      <c r="E137" s="828">
        <v>2020</v>
      </c>
      <c r="F137" s="828">
        <v>2021</v>
      </c>
    </row>
    <row r="138" spans="2:6" ht="12.6" customHeight="1" thickBot="1" x14ac:dyDescent="0.3">
      <c r="B138" s="2975"/>
      <c r="C138" s="827" t="s">
        <v>6</v>
      </c>
      <c r="D138" s="827" t="s">
        <v>7</v>
      </c>
      <c r="E138" s="827" t="s">
        <v>7</v>
      </c>
      <c r="F138" s="827" t="s">
        <v>7</v>
      </c>
    </row>
    <row r="139" spans="2:6" ht="12.6" customHeight="1" thickBot="1" x14ac:dyDescent="0.3">
      <c r="B139" s="1158" t="s">
        <v>9</v>
      </c>
      <c r="C139" s="1072">
        <v>15</v>
      </c>
      <c r="D139" s="1072">
        <v>20</v>
      </c>
      <c r="E139" s="1072">
        <v>25</v>
      </c>
      <c r="F139" s="1072">
        <v>30</v>
      </c>
    </row>
    <row r="140" spans="2:6" ht="12.6" customHeight="1" thickBot="1" x14ac:dyDescent="0.3">
      <c r="B140" s="1158" t="s">
        <v>14</v>
      </c>
      <c r="C140" s="1069">
        <v>15000</v>
      </c>
      <c r="D140" s="1069">
        <v>20000</v>
      </c>
      <c r="E140" s="1069">
        <v>25000</v>
      </c>
      <c r="F140" s="1069">
        <v>30000</v>
      </c>
    </row>
    <row r="141" spans="2:6" ht="12.6" customHeight="1" thickBot="1" x14ac:dyDescent="0.3">
      <c r="B141" s="1158" t="s">
        <v>23</v>
      </c>
      <c r="C141" s="1073">
        <f>C140/C139</f>
        <v>1000</v>
      </c>
      <c r="D141" s="1073">
        <f>D140/D139</f>
        <v>1000</v>
      </c>
      <c r="E141" s="1073">
        <f>E140/E139</f>
        <v>1000</v>
      </c>
      <c r="F141" s="1073">
        <f>F140/F139</f>
        <v>1000</v>
      </c>
    </row>
    <row r="142" spans="2:6" ht="12.6" customHeight="1" thickBot="1" x14ac:dyDescent="0.3">
      <c r="B142" s="1158" t="s">
        <v>15</v>
      </c>
      <c r="C142" s="1152"/>
      <c r="D142" s="1070">
        <f>D139/D139-1</f>
        <v>0</v>
      </c>
      <c r="E142" s="1070">
        <f>E139/E139-1</f>
        <v>0</v>
      </c>
      <c r="F142" s="1070">
        <f>F139/F139-1</f>
        <v>0</v>
      </c>
    </row>
    <row r="143" spans="2:6" ht="12.6" customHeight="1" thickBot="1" x14ac:dyDescent="0.3">
      <c r="B143" s="1158" t="s">
        <v>16</v>
      </c>
      <c r="C143" s="1152"/>
      <c r="D143" s="1070">
        <f t="shared" ref="D143:F144" si="4">D140/C140-1</f>
        <v>0.33333333333333326</v>
      </c>
      <c r="E143" s="1070">
        <f t="shared" si="4"/>
        <v>0.25</v>
      </c>
      <c r="F143" s="1070">
        <f t="shared" si="4"/>
        <v>0.19999999999999996</v>
      </c>
    </row>
    <row r="144" spans="2:6" ht="12.6" customHeight="1" thickBot="1" x14ac:dyDescent="0.3">
      <c r="B144" s="1158" t="s">
        <v>17</v>
      </c>
      <c r="C144" s="1152"/>
      <c r="D144" s="1070">
        <f t="shared" si="4"/>
        <v>0</v>
      </c>
      <c r="E144" s="1070">
        <f t="shared" si="4"/>
        <v>0</v>
      </c>
      <c r="F144" s="1070">
        <f t="shared" si="4"/>
        <v>0</v>
      </c>
    </row>
    <row r="145" spans="2:6" ht="12.6" customHeight="1" thickBot="1" x14ac:dyDescent="0.3">
      <c r="B145" s="2976" t="s">
        <v>895</v>
      </c>
      <c r="C145" s="2977"/>
      <c r="D145" s="2977"/>
      <c r="E145" s="2977"/>
      <c r="F145" s="2978"/>
    </row>
    <row r="146" spans="2:6" ht="12.6" customHeight="1" x14ac:dyDescent="0.25">
      <c r="B146" s="2974"/>
      <c r="C146" s="828">
        <v>2018</v>
      </c>
      <c r="D146" s="828">
        <v>2019</v>
      </c>
      <c r="E146" s="828">
        <v>2020</v>
      </c>
      <c r="F146" s="828">
        <v>2021</v>
      </c>
    </row>
    <row r="147" spans="2:6" ht="12.6" customHeight="1" thickBot="1" x14ac:dyDescent="0.3">
      <c r="B147" s="2975"/>
      <c r="C147" s="827" t="s">
        <v>6</v>
      </c>
      <c r="D147" s="827" t="s">
        <v>7</v>
      </c>
      <c r="E147" s="827" t="s">
        <v>7</v>
      </c>
      <c r="F147" s="827" t="s">
        <v>7</v>
      </c>
    </row>
    <row r="148" spans="2:6" ht="12.6" customHeight="1" thickBot="1" x14ac:dyDescent="0.3">
      <c r="B148" s="981" t="s">
        <v>0</v>
      </c>
      <c r="C148" s="818"/>
      <c r="D148" s="818"/>
      <c r="E148" s="818"/>
      <c r="F148" s="818"/>
    </row>
    <row r="149" spans="2:6" ht="12.6" customHeight="1" thickBot="1" x14ac:dyDescent="0.3">
      <c r="B149" s="981" t="s">
        <v>49</v>
      </c>
      <c r="C149" s="818"/>
      <c r="D149" s="818"/>
      <c r="E149" s="818"/>
      <c r="F149" s="818"/>
    </row>
    <row r="150" spans="2:6" ht="12.6" customHeight="1" thickBot="1" x14ac:dyDescent="0.3">
      <c r="B150" s="981" t="s">
        <v>1</v>
      </c>
      <c r="C150" s="805"/>
      <c r="D150" s="818"/>
      <c r="E150" s="818"/>
      <c r="F150" s="818"/>
    </row>
    <row r="151" spans="2:6" ht="12.6" customHeight="1" thickBot="1" x14ac:dyDescent="0.3">
      <c r="B151" s="981" t="s">
        <v>2</v>
      </c>
      <c r="C151" s="805"/>
      <c r="D151" s="818"/>
      <c r="E151" s="818"/>
      <c r="F151" s="818"/>
    </row>
    <row r="152" spans="2:6" ht="12.6" customHeight="1" thickBot="1" x14ac:dyDescent="0.3">
      <c r="B152" s="981" t="s">
        <v>28</v>
      </c>
      <c r="C152" s="805">
        <f>C140</f>
        <v>15000</v>
      </c>
      <c r="D152" s="818">
        <f>D140</f>
        <v>20000</v>
      </c>
      <c r="E152" s="818">
        <f>E140</f>
        <v>25000</v>
      </c>
      <c r="F152" s="818">
        <f>F140</f>
        <v>30000</v>
      </c>
    </row>
    <row r="153" spans="2:6" ht="12.6" customHeight="1" thickBot="1" x14ac:dyDescent="0.3">
      <c r="B153" s="981" t="s">
        <v>30</v>
      </c>
      <c r="C153" s="805"/>
      <c r="D153" s="818"/>
      <c r="E153" s="818"/>
      <c r="F153" s="818"/>
    </row>
    <row r="154" spans="2:6" ht="12.6" customHeight="1" thickBot="1" x14ac:dyDescent="0.3">
      <c r="B154" s="981" t="s">
        <v>3</v>
      </c>
      <c r="C154" s="805"/>
      <c r="D154" s="818"/>
      <c r="E154" s="818"/>
      <c r="F154" s="818"/>
    </row>
    <row r="155" spans="2:6" ht="12.6" customHeight="1" thickBot="1" x14ac:dyDescent="0.3">
      <c r="B155" s="1074" t="s">
        <v>71</v>
      </c>
      <c r="C155" s="805">
        <f>C154+C153+C152+C151+C150+C149+C148</f>
        <v>15000</v>
      </c>
      <c r="D155" s="805">
        <f>D154+D153+D152+D151+D150+D149+D148</f>
        <v>20000</v>
      </c>
      <c r="E155" s="805">
        <f>E154+E153+E152+E151+E150+E149+E148</f>
        <v>25000</v>
      </c>
      <c r="F155" s="805">
        <f>F154+F153+F152+F151+F150+F149+F148</f>
        <v>30000</v>
      </c>
    </row>
    <row r="156" spans="2:6" ht="12.6" customHeight="1" thickBot="1" x14ac:dyDescent="0.3">
      <c r="B156" s="1071" t="s">
        <v>70</v>
      </c>
      <c r="C156" s="1075">
        <f>IF(C155-C140=0,0,"Error")</f>
        <v>0</v>
      </c>
      <c r="D156" s="1075">
        <f>IF(D155-D140=0,0,"Error")</f>
        <v>0</v>
      </c>
      <c r="E156" s="1075">
        <f>IF(E155-E140=0,0,"Error")</f>
        <v>0</v>
      </c>
      <c r="F156" s="1075">
        <f>IF(F155-F140=0,0,"Error")</f>
        <v>0</v>
      </c>
    </row>
    <row r="157" spans="2:6" ht="12.6" customHeight="1" thickBot="1" x14ac:dyDescent="0.3">
      <c r="B157" s="3013" t="s">
        <v>67</v>
      </c>
      <c r="C157" s="3014"/>
      <c r="D157" s="3014"/>
      <c r="E157" s="3014"/>
      <c r="F157" s="3015"/>
    </row>
    <row r="158" spans="2:6" ht="12.6" customHeight="1" thickBot="1" x14ac:dyDescent="0.3">
      <c r="B158" s="3000" t="s">
        <v>99</v>
      </c>
      <c r="C158" s="3001"/>
      <c r="D158" s="3001"/>
      <c r="E158" s="3001"/>
      <c r="F158" s="3002"/>
    </row>
    <row r="159" spans="2:6" ht="12.6" customHeight="1" x14ac:dyDescent="0.25">
      <c r="B159" s="2974"/>
      <c r="C159" s="828">
        <v>2018</v>
      </c>
      <c r="D159" s="828">
        <v>2019</v>
      </c>
      <c r="E159" s="828">
        <v>2020</v>
      </c>
      <c r="F159" s="828">
        <v>2021</v>
      </c>
    </row>
    <row r="160" spans="2:6" ht="12.6" customHeight="1" thickBot="1" x14ac:dyDescent="0.3">
      <c r="B160" s="2975"/>
      <c r="C160" s="828" t="s">
        <v>6</v>
      </c>
      <c r="D160" s="828" t="s">
        <v>7</v>
      </c>
      <c r="E160" s="828" t="s">
        <v>7</v>
      </c>
      <c r="F160" s="828" t="s">
        <v>7</v>
      </c>
    </row>
    <row r="161" spans="2:6" ht="12.6" customHeight="1" thickBot="1" x14ac:dyDescent="0.3">
      <c r="B161" s="1077" t="s">
        <v>896</v>
      </c>
      <c r="C161" s="3003" t="s">
        <v>906</v>
      </c>
      <c r="D161" s="3004"/>
      <c r="E161" s="3004"/>
      <c r="F161" s="3004"/>
    </row>
    <row r="162" spans="2:6" ht="24" customHeight="1" x14ac:dyDescent="0.25">
      <c r="B162" s="3005" t="s">
        <v>10</v>
      </c>
      <c r="C162" s="3007" t="s">
        <v>907</v>
      </c>
      <c r="D162" s="3007"/>
      <c r="E162" s="3007"/>
      <c r="F162" s="3007"/>
    </row>
    <row r="163" spans="2:6" ht="7.9" customHeight="1" x14ac:dyDescent="0.25">
      <c r="B163" s="3006"/>
      <c r="C163" s="3007"/>
      <c r="D163" s="3007"/>
      <c r="E163" s="3007"/>
      <c r="F163" s="3007"/>
    </row>
    <row r="164" spans="2:6" ht="12.6" customHeight="1" x14ac:dyDescent="0.25">
      <c r="B164" s="1159" t="s">
        <v>13</v>
      </c>
      <c r="C164" s="3008" t="s">
        <v>908</v>
      </c>
      <c r="D164" s="3009"/>
      <c r="E164" s="3009"/>
      <c r="F164" s="3010"/>
    </row>
    <row r="165" spans="2:6" ht="12.6" customHeight="1" x14ac:dyDescent="0.25">
      <c r="B165" s="3023"/>
      <c r="C165" s="828">
        <v>2018</v>
      </c>
      <c r="D165" s="828">
        <v>2019</v>
      </c>
      <c r="E165" s="828">
        <v>2020</v>
      </c>
      <c r="F165" s="828">
        <v>2021</v>
      </c>
    </row>
    <row r="166" spans="2:6" ht="12.6" customHeight="1" thickBot="1" x14ac:dyDescent="0.3">
      <c r="B166" s="2975"/>
      <c r="C166" s="827" t="s">
        <v>6</v>
      </c>
      <c r="D166" s="827" t="s">
        <v>7</v>
      </c>
      <c r="E166" s="827" t="s">
        <v>7</v>
      </c>
      <c r="F166" s="827" t="s">
        <v>7</v>
      </c>
    </row>
    <row r="167" spans="2:6" ht="12.6" customHeight="1" thickBot="1" x14ac:dyDescent="0.3">
      <c r="B167" s="1158" t="s">
        <v>9</v>
      </c>
      <c r="C167" s="1069">
        <v>20</v>
      </c>
      <c r="D167" s="814">
        <v>22</v>
      </c>
      <c r="E167" s="814">
        <v>24</v>
      </c>
      <c r="F167" s="814">
        <v>25</v>
      </c>
    </row>
    <row r="168" spans="2:6" ht="12.6" customHeight="1" thickBot="1" x14ac:dyDescent="0.3">
      <c r="B168" s="1158" t="s">
        <v>14</v>
      </c>
      <c r="C168" s="1069">
        <v>12000</v>
      </c>
      <c r="D168" s="1069">
        <v>14000</v>
      </c>
      <c r="E168" s="1069">
        <v>16000</v>
      </c>
      <c r="F168" s="1069">
        <v>17000</v>
      </c>
    </row>
    <row r="169" spans="2:6" ht="12.6" customHeight="1" thickBot="1" x14ac:dyDescent="0.3">
      <c r="B169" s="1158" t="s">
        <v>23</v>
      </c>
      <c r="C169" s="1073">
        <f>C168/C167</f>
        <v>600</v>
      </c>
      <c r="D169" s="1073">
        <f>D168/D167</f>
        <v>636.36363636363637</v>
      </c>
      <c r="E169" s="1073">
        <f>E168/E167</f>
        <v>666.66666666666663</v>
      </c>
      <c r="F169" s="1073">
        <f>F168/F167</f>
        <v>680</v>
      </c>
    </row>
    <row r="170" spans="2:6" ht="12.6" customHeight="1" thickBot="1" x14ac:dyDescent="0.3">
      <c r="B170" s="1158" t="s">
        <v>15</v>
      </c>
      <c r="C170" s="1152"/>
      <c r="D170" s="1070">
        <f t="shared" ref="D170:F172" si="5">D167/C167-1</f>
        <v>0.10000000000000009</v>
      </c>
      <c r="E170" s="1070">
        <f t="shared" si="5"/>
        <v>9.0909090909090828E-2</v>
      </c>
      <c r="F170" s="1070">
        <f t="shared" si="5"/>
        <v>4.1666666666666741E-2</v>
      </c>
    </row>
    <row r="171" spans="2:6" ht="12.6" customHeight="1" thickBot="1" x14ac:dyDescent="0.3">
      <c r="B171" s="1158" t="s">
        <v>16</v>
      </c>
      <c r="C171" s="1152"/>
      <c r="D171" s="1070">
        <f t="shared" si="5"/>
        <v>0.16666666666666674</v>
      </c>
      <c r="E171" s="1070">
        <f t="shared" si="5"/>
        <v>0.14285714285714279</v>
      </c>
      <c r="F171" s="1070">
        <f t="shared" si="5"/>
        <v>6.25E-2</v>
      </c>
    </row>
    <row r="172" spans="2:6" ht="12.6" customHeight="1" thickBot="1" x14ac:dyDescent="0.3">
      <c r="B172" s="1158" t="s">
        <v>17</v>
      </c>
      <c r="C172" s="1152"/>
      <c r="D172" s="1070">
        <f t="shared" si="5"/>
        <v>6.0606060606060552E-2</v>
      </c>
      <c r="E172" s="1070">
        <f t="shared" si="5"/>
        <v>4.761904761904745E-2</v>
      </c>
      <c r="F172" s="1070">
        <f t="shared" si="5"/>
        <v>2.0000000000000018E-2</v>
      </c>
    </row>
    <row r="173" spans="2:6" ht="12.6" customHeight="1" thickBot="1" x14ac:dyDescent="0.3">
      <c r="B173" s="2976" t="s">
        <v>895</v>
      </c>
      <c r="C173" s="2977"/>
      <c r="D173" s="2977"/>
      <c r="E173" s="2977"/>
      <c r="F173" s="2978"/>
    </row>
    <row r="174" spans="2:6" ht="12.6" customHeight="1" x14ac:dyDescent="0.25">
      <c r="B174" s="2974"/>
      <c r="C174" s="828">
        <v>2018</v>
      </c>
      <c r="D174" s="828">
        <v>2019</v>
      </c>
      <c r="E174" s="828">
        <v>2020</v>
      </c>
      <c r="F174" s="828">
        <v>2021</v>
      </c>
    </row>
    <row r="175" spans="2:6" ht="12.6" customHeight="1" thickBot="1" x14ac:dyDescent="0.3">
      <c r="B175" s="2975"/>
      <c r="C175" s="827" t="s">
        <v>6</v>
      </c>
      <c r="D175" s="827" t="s">
        <v>7</v>
      </c>
      <c r="E175" s="827" t="s">
        <v>7</v>
      </c>
      <c r="F175" s="827" t="s">
        <v>7</v>
      </c>
    </row>
    <row r="176" spans="2:6" ht="12.6" customHeight="1" thickBot="1" x14ac:dyDescent="0.3">
      <c r="B176" s="981" t="s">
        <v>0</v>
      </c>
      <c r="C176" s="818"/>
      <c r="D176" s="818"/>
      <c r="E176" s="818"/>
      <c r="F176" s="818"/>
    </row>
    <row r="177" spans="2:6" ht="12.6" customHeight="1" thickBot="1" x14ac:dyDescent="0.3">
      <c r="B177" s="981" t="s">
        <v>49</v>
      </c>
      <c r="C177" s="818"/>
      <c r="D177" s="818"/>
      <c r="E177" s="818"/>
      <c r="F177" s="818"/>
    </row>
    <row r="178" spans="2:6" ht="12.6" customHeight="1" thickBot="1" x14ac:dyDescent="0.3">
      <c r="B178" s="981" t="s">
        <v>1</v>
      </c>
      <c r="C178" s="805"/>
      <c r="D178" s="818"/>
      <c r="E178" s="818"/>
      <c r="F178" s="818"/>
    </row>
    <row r="179" spans="2:6" ht="12.6" customHeight="1" thickBot="1" x14ac:dyDescent="0.3">
      <c r="B179" s="981" t="s">
        <v>2</v>
      </c>
      <c r="C179" s="805"/>
      <c r="D179" s="818"/>
      <c r="E179" s="818"/>
      <c r="F179" s="818"/>
    </row>
    <row r="180" spans="2:6" ht="12.6" customHeight="1" thickBot="1" x14ac:dyDescent="0.3">
      <c r="B180" s="981" t="s">
        <v>28</v>
      </c>
      <c r="C180" s="805">
        <f>C168</f>
        <v>12000</v>
      </c>
      <c r="D180" s="818">
        <f>D168</f>
        <v>14000</v>
      </c>
      <c r="E180" s="818">
        <f>E168</f>
        <v>16000</v>
      </c>
      <c r="F180" s="818">
        <f>F168</f>
        <v>17000</v>
      </c>
    </row>
    <row r="181" spans="2:6" ht="12.6" customHeight="1" thickBot="1" x14ac:dyDescent="0.3">
      <c r="B181" s="981" t="s">
        <v>30</v>
      </c>
      <c r="C181" s="805"/>
      <c r="D181" s="818"/>
      <c r="E181" s="818"/>
      <c r="F181" s="818"/>
    </row>
    <row r="182" spans="2:6" ht="12.6" customHeight="1" thickBot="1" x14ac:dyDescent="0.3">
      <c r="B182" s="981" t="s">
        <v>3</v>
      </c>
      <c r="C182" s="805"/>
      <c r="D182" s="818"/>
      <c r="E182" s="818"/>
      <c r="F182" s="818"/>
    </row>
    <row r="183" spans="2:6" ht="12.6" customHeight="1" thickBot="1" x14ac:dyDescent="0.3">
      <c r="B183" s="1074" t="s">
        <v>71</v>
      </c>
      <c r="C183" s="805">
        <f>C182+C181+C180+C179+C178+C177+C176</f>
        <v>12000</v>
      </c>
      <c r="D183" s="805">
        <f>D182+D181+D180+D179+D178+D177+D176</f>
        <v>14000</v>
      </c>
      <c r="E183" s="805">
        <f>E182+E181+E180+E179+E178+E177+E176</f>
        <v>16000</v>
      </c>
      <c r="F183" s="805">
        <f>F182+F181+F180+F179+F178+F177+F176</f>
        <v>17000</v>
      </c>
    </row>
    <row r="184" spans="2:6" ht="12.6" customHeight="1" thickBot="1" x14ac:dyDescent="0.3">
      <c r="B184" s="1071" t="s">
        <v>70</v>
      </c>
      <c r="C184" s="1075">
        <f>IF(C183-C168=0,0,"Error")</f>
        <v>0</v>
      </c>
      <c r="D184" s="1075">
        <f>IF(D183-D168=0,0,"Error")</f>
        <v>0</v>
      </c>
      <c r="E184" s="1075">
        <f>IF(E183-E168=0,0,"Error")</f>
        <v>0</v>
      </c>
      <c r="F184" s="1075">
        <f>IF(F183-F168=0,0,"Error")</f>
        <v>0</v>
      </c>
    </row>
    <row r="185" spans="2:6" ht="12.6" customHeight="1" thickBot="1" x14ac:dyDescent="0.3">
      <c r="B185" s="2979" t="s">
        <v>536</v>
      </c>
      <c r="C185" s="2980"/>
      <c r="D185" s="2980"/>
      <c r="E185" s="2980"/>
      <c r="F185" s="2981"/>
    </row>
    <row r="186" spans="2:6" ht="29.45" customHeight="1" thickBot="1" x14ac:dyDescent="0.3">
      <c r="B186" s="1066" t="s">
        <v>909</v>
      </c>
      <c r="C186" s="3024" t="s">
        <v>910</v>
      </c>
      <c r="D186" s="3025"/>
      <c r="E186" s="3025"/>
      <c r="F186" s="3025"/>
    </row>
    <row r="187" spans="2:6" ht="25.9" customHeight="1" thickBot="1" x14ac:dyDescent="0.3">
      <c r="B187" s="1158" t="s">
        <v>10</v>
      </c>
      <c r="C187" s="3026" t="s">
        <v>911</v>
      </c>
      <c r="D187" s="3027"/>
      <c r="E187" s="3027"/>
      <c r="F187" s="3028"/>
    </row>
    <row r="188" spans="2:6" ht="14.45" customHeight="1" thickBot="1" x14ac:dyDescent="0.3">
      <c r="B188" s="1158" t="s">
        <v>13</v>
      </c>
      <c r="C188" s="3016" t="s">
        <v>912</v>
      </c>
      <c r="D188" s="3017"/>
      <c r="E188" s="3017"/>
      <c r="F188" s="3018"/>
    </row>
    <row r="189" spans="2:6" ht="12.6" customHeight="1" x14ac:dyDescent="0.25">
      <c r="B189" s="2974"/>
      <c r="C189" s="828">
        <v>2018</v>
      </c>
      <c r="D189" s="828">
        <v>2019</v>
      </c>
      <c r="E189" s="828">
        <v>2020</v>
      </c>
      <c r="F189" s="828">
        <v>2021</v>
      </c>
    </row>
    <row r="190" spans="2:6" ht="33.6" customHeight="1" thickBot="1" x14ac:dyDescent="0.3">
      <c r="B190" s="2975"/>
      <c r="C190" s="827" t="s">
        <v>6</v>
      </c>
      <c r="D190" s="827" t="s">
        <v>7</v>
      </c>
      <c r="E190" s="827" t="s">
        <v>7</v>
      </c>
      <c r="F190" s="827" t="s">
        <v>7</v>
      </c>
    </row>
    <row r="191" spans="2:6" ht="12.6" customHeight="1" thickBot="1" x14ac:dyDescent="0.3">
      <c r="B191" s="1158" t="s">
        <v>9</v>
      </c>
      <c r="C191" s="1072">
        <v>30</v>
      </c>
      <c r="D191" s="1072">
        <v>30</v>
      </c>
      <c r="E191" s="1072">
        <v>30</v>
      </c>
      <c r="F191" s="1072">
        <v>30</v>
      </c>
    </row>
    <row r="192" spans="2:6" ht="12.6" customHeight="1" thickBot="1" x14ac:dyDescent="0.3">
      <c r="B192" s="1158" t="s">
        <v>14</v>
      </c>
      <c r="C192" s="1069">
        <v>51200</v>
      </c>
      <c r="D192" s="1069">
        <v>61200</v>
      </c>
      <c r="E192" s="1069">
        <v>73900</v>
      </c>
      <c r="F192" s="1069">
        <v>74400</v>
      </c>
    </row>
    <row r="193" spans="2:6" ht="12.6" customHeight="1" thickBot="1" x14ac:dyDescent="0.3">
      <c r="B193" s="1158" t="s">
        <v>23</v>
      </c>
      <c r="C193" s="1073">
        <f>C192/C191</f>
        <v>1706.6666666666667</v>
      </c>
      <c r="D193" s="1073">
        <f>D192/D191</f>
        <v>2040</v>
      </c>
      <c r="E193" s="1073">
        <f>E192/E191</f>
        <v>2463.3333333333335</v>
      </c>
      <c r="F193" s="1073">
        <f>F192/F191</f>
        <v>2480</v>
      </c>
    </row>
    <row r="194" spans="2:6" ht="12.6" customHeight="1" thickBot="1" x14ac:dyDescent="0.3">
      <c r="B194" s="1158" t="s">
        <v>15</v>
      </c>
      <c r="C194" s="1152"/>
      <c r="D194" s="1070">
        <f t="shared" ref="D194:F196" si="6">D191/C191-1</f>
        <v>0</v>
      </c>
      <c r="E194" s="1070">
        <f t="shared" si="6"/>
        <v>0</v>
      </c>
      <c r="F194" s="1070">
        <f t="shared" si="6"/>
        <v>0</v>
      </c>
    </row>
    <row r="195" spans="2:6" ht="12.6" customHeight="1" thickBot="1" x14ac:dyDescent="0.3">
      <c r="B195" s="1158" t="s">
        <v>16</v>
      </c>
      <c r="C195" s="1152"/>
      <c r="D195" s="1070">
        <f t="shared" si="6"/>
        <v>0.1953125</v>
      </c>
      <c r="E195" s="1070">
        <f t="shared" si="6"/>
        <v>0.20751633986928097</v>
      </c>
      <c r="F195" s="1070">
        <f t="shared" si="6"/>
        <v>6.7658998646820123E-3</v>
      </c>
    </row>
    <row r="196" spans="2:6" ht="12.6" customHeight="1" thickBot="1" x14ac:dyDescent="0.3">
      <c r="B196" s="1158" t="s">
        <v>17</v>
      </c>
      <c r="C196" s="1152"/>
      <c r="D196" s="1070">
        <f t="shared" si="6"/>
        <v>0.1953125</v>
      </c>
      <c r="E196" s="1070">
        <f t="shared" si="6"/>
        <v>0.2075163398692812</v>
      </c>
      <c r="F196" s="1070">
        <f t="shared" si="6"/>
        <v>6.7658998646820123E-3</v>
      </c>
    </row>
    <row r="197" spans="2:6" ht="12.6" customHeight="1" thickBot="1" x14ac:dyDescent="0.3">
      <c r="B197" s="2976" t="s">
        <v>895</v>
      </c>
      <c r="C197" s="2977"/>
      <c r="D197" s="2977"/>
      <c r="E197" s="2977"/>
      <c r="F197" s="2978"/>
    </row>
    <row r="198" spans="2:6" ht="12.6" customHeight="1" x14ac:dyDescent="0.25">
      <c r="B198" s="2974"/>
      <c r="C198" s="828">
        <v>2018</v>
      </c>
      <c r="D198" s="828">
        <v>2019</v>
      </c>
      <c r="E198" s="828">
        <v>2020</v>
      </c>
      <c r="F198" s="828">
        <v>2021</v>
      </c>
    </row>
    <row r="199" spans="2:6" ht="12.6" customHeight="1" thickBot="1" x14ac:dyDescent="0.3">
      <c r="B199" s="2975"/>
      <c r="C199" s="827" t="s">
        <v>6</v>
      </c>
      <c r="D199" s="827" t="s">
        <v>7</v>
      </c>
      <c r="E199" s="827" t="s">
        <v>7</v>
      </c>
      <c r="F199" s="827" t="s">
        <v>7</v>
      </c>
    </row>
    <row r="200" spans="2:6" ht="12.6" customHeight="1" thickBot="1" x14ac:dyDescent="0.3">
      <c r="B200" s="981" t="s">
        <v>0</v>
      </c>
      <c r="C200" s="818">
        <v>27000</v>
      </c>
      <c r="D200" s="818">
        <v>27000</v>
      </c>
      <c r="E200" s="818">
        <v>27000</v>
      </c>
      <c r="F200" s="818">
        <v>27000</v>
      </c>
    </row>
    <row r="201" spans="2:6" ht="12.6" customHeight="1" thickBot="1" x14ac:dyDescent="0.3">
      <c r="B201" s="981" t="s">
        <v>49</v>
      </c>
      <c r="C201" s="818">
        <v>5000</v>
      </c>
      <c r="D201" s="818">
        <v>5000</v>
      </c>
      <c r="E201" s="818">
        <v>5000</v>
      </c>
      <c r="F201" s="818">
        <v>5000</v>
      </c>
    </row>
    <row r="202" spans="2:6" ht="12.6" customHeight="1" thickBot="1" x14ac:dyDescent="0.3">
      <c r="B202" s="981" t="s">
        <v>1</v>
      </c>
      <c r="C202" s="805">
        <v>14000</v>
      </c>
      <c r="D202" s="805">
        <v>24000</v>
      </c>
      <c r="E202" s="805">
        <v>24000</v>
      </c>
      <c r="F202" s="805">
        <v>24000</v>
      </c>
    </row>
    <row r="203" spans="2:6" ht="12.6" customHeight="1" thickBot="1" x14ac:dyDescent="0.3">
      <c r="B203" s="981" t="s">
        <v>2</v>
      </c>
      <c r="C203" s="805"/>
      <c r="D203" s="818"/>
      <c r="E203" s="818"/>
      <c r="F203" s="818"/>
    </row>
    <row r="204" spans="2:6" ht="12.6" customHeight="1" thickBot="1" x14ac:dyDescent="0.3">
      <c r="B204" s="981" t="s">
        <v>28</v>
      </c>
      <c r="C204" s="794">
        <v>0</v>
      </c>
      <c r="D204" s="814">
        <v>0</v>
      </c>
      <c r="E204" s="814">
        <v>12700</v>
      </c>
      <c r="F204" s="814">
        <v>13200</v>
      </c>
    </row>
    <row r="205" spans="2:6" ht="12.6" customHeight="1" thickBot="1" x14ac:dyDescent="0.3">
      <c r="B205" s="981" t="s">
        <v>30</v>
      </c>
      <c r="C205" s="805">
        <v>5200</v>
      </c>
      <c r="D205" s="805">
        <f>D192</f>
        <v>61200</v>
      </c>
      <c r="E205" s="805">
        <f>E192</f>
        <v>73900</v>
      </c>
      <c r="F205" s="805">
        <f>F192</f>
        <v>74400</v>
      </c>
    </row>
    <row r="206" spans="2:6" ht="12.6" customHeight="1" thickBot="1" x14ac:dyDescent="0.3">
      <c r="B206" s="981" t="s">
        <v>3</v>
      </c>
      <c r="C206" s="805"/>
      <c r="D206" s="818"/>
      <c r="E206" s="818"/>
      <c r="F206" s="818"/>
    </row>
    <row r="207" spans="2:6" ht="12.6" customHeight="1" thickBot="1" x14ac:dyDescent="0.3">
      <c r="B207" s="1074" t="s">
        <v>71</v>
      </c>
      <c r="C207" s="805">
        <f>C206+C205+C204+C203+C202+C201+C200</f>
        <v>51200</v>
      </c>
      <c r="D207" s="805">
        <f>D206+D205+D204+D203+D202+D201+D200</f>
        <v>117200</v>
      </c>
      <c r="E207" s="805">
        <f>E206+E205+E204+E203+E202+E201+E200</f>
        <v>142600</v>
      </c>
      <c r="F207" s="805">
        <f>F206+F205+F204+F203+F202+F201+F200</f>
        <v>143600</v>
      </c>
    </row>
    <row r="208" spans="2:6" ht="12.6" customHeight="1" thickBot="1" x14ac:dyDescent="0.3">
      <c r="B208" s="1071" t="s">
        <v>70</v>
      </c>
      <c r="C208" s="801">
        <f>C192-C207</f>
        <v>0</v>
      </c>
      <c r="D208" s="801">
        <f>D192-D207</f>
        <v>-56000</v>
      </c>
      <c r="E208" s="801">
        <f>E192-E207</f>
        <v>-68700</v>
      </c>
      <c r="F208" s="801">
        <f>F192-F207</f>
        <v>-69200</v>
      </c>
    </row>
    <row r="209" spans="2:6" ht="12.6" customHeight="1" x14ac:dyDescent="0.25">
      <c r="B209" s="3019" t="s">
        <v>536</v>
      </c>
      <c r="C209" s="3020"/>
      <c r="D209" s="3020"/>
      <c r="E209" s="3020"/>
      <c r="F209" s="3021"/>
    </row>
    <row r="210" spans="2:6" ht="25.15" customHeight="1" x14ac:dyDescent="0.25">
      <c r="B210" s="1079" t="s">
        <v>45</v>
      </c>
      <c r="C210" s="3022" t="s">
        <v>913</v>
      </c>
      <c r="D210" s="3022"/>
      <c r="E210" s="3022"/>
      <c r="F210" s="3022"/>
    </row>
    <row r="211" spans="2:6" ht="20.45" customHeight="1" x14ac:dyDescent="0.25">
      <c r="B211" s="3033" t="s">
        <v>10</v>
      </c>
      <c r="C211" s="3034" t="s">
        <v>1010</v>
      </c>
      <c r="D211" s="3034"/>
      <c r="E211" s="3034"/>
      <c r="F211" s="3034"/>
    </row>
    <row r="212" spans="2:6" ht="18.600000000000001" customHeight="1" x14ac:dyDescent="0.25">
      <c r="B212" s="3033"/>
      <c r="C212" s="3034"/>
      <c r="D212" s="3034"/>
      <c r="E212" s="3034"/>
      <c r="F212" s="3034"/>
    </row>
    <row r="213" spans="2:6" ht="12.6" customHeight="1" x14ac:dyDescent="0.25">
      <c r="B213" s="1159" t="s">
        <v>13</v>
      </c>
      <c r="C213" s="2994" t="s">
        <v>915</v>
      </c>
      <c r="D213" s="2994"/>
      <c r="E213" s="2994"/>
      <c r="F213" s="2994"/>
    </row>
    <row r="214" spans="2:6" ht="12.6" customHeight="1" x14ac:dyDescent="0.25">
      <c r="B214" s="3035"/>
      <c r="C214" s="1080">
        <v>2018</v>
      </c>
      <c r="D214" s="1080">
        <v>2019</v>
      </c>
      <c r="E214" s="1080">
        <v>2020</v>
      </c>
      <c r="F214" s="1080">
        <v>2021</v>
      </c>
    </row>
    <row r="215" spans="2:6" ht="12.6" customHeight="1" thickBot="1" x14ac:dyDescent="0.3">
      <c r="B215" s="3036"/>
      <c r="C215" s="881" t="s">
        <v>6</v>
      </c>
      <c r="D215" s="881" t="s">
        <v>7</v>
      </c>
      <c r="E215" s="881" t="s">
        <v>7</v>
      </c>
      <c r="F215" s="881" t="s">
        <v>7</v>
      </c>
    </row>
    <row r="216" spans="2:6" ht="12.6" customHeight="1" thickBot="1" x14ac:dyDescent="0.3">
      <c r="B216" s="1158" t="s">
        <v>9</v>
      </c>
      <c r="C216" s="827">
        <v>732</v>
      </c>
      <c r="D216" s="827">
        <v>732</v>
      </c>
      <c r="E216" s="827">
        <v>732</v>
      </c>
      <c r="F216" s="827">
        <v>732</v>
      </c>
    </row>
    <row r="217" spans="2:6" ht="12.6" customHeight="1" thickBot="1" x14ac:dyDescent="0.3">
      <c r="B217" s="1158" t="s">
        <v>14</v>
      </c>
      <c r="C217" s="1073">
        <v>11000</v>
      </c>
      <c r="D217" s="1073">
        <v>12000</v>
      </c>
      <c r="E217" s="1073">
        <v>13000</v>
      </c>
      <c r="F217" s="1073">
        <v>13000</v>
      </c>
    </row>
    <row r="218" spans="2:6" ht="12.6" customHeight="1" thickBot="1" x14ac:dyDescent="0.3">
      <c r="B218" s="1158" t="s">
        <v>23</v>
      </c>
      <c r="C218" s="1073">
        <f>C217/C216</f>
        <v>15.027322404371585</v>
      </c>
      <c r="D218" s="1073">
        <f>D217/D216</f>
        <v>16.393442622950818</v>
      </c>
      <c r="E218" s="1073">
        <f>E217/E216</f>
        <v>17.759562841530055</v>
      </c>
      <c r="F218" s="1073">
        <f>F217/F216</f>
        <v>17.759562841530055</v>
      </c>
    </row>
    <row r="219" spans="2:6" ht="12.6" customHeight="1" thickBot="1" x14ac:dyDescent="0.3">
      <c r="B219" s="1158" t="s">
        <v>15</v>
      </c>
      <c r="C219" s="1152"/>
      <c r="D219" s="1070">
        <f>D216/D216-1</f>
        <v>0</v>
      </c>
      <c r="E219" s="1070">
        <f>E216/E216-1</f>
        <v>0</v>
      </c>
      <c r="F219" s="1070">
        <f>F216/F216-1</f>
        <v>0</v>
      </c>
    </row>
    <row r="220" spans="2:6" ht="27" customHeight="1" thickBot="1" x14ac:dyDescent="0.3">
      <c r="B220" s="1158" t="s">
        <v>16</v>
      </c>
      <c r="C220" s="1152"/>
      <c r="D220" s="1070">
        <f t="shared" ref="D220:F221" si="7">D217/C217-1</f>
        <v>9.0909090909090828E-2</v>
      </c>
      <c r="E220" s="1070">
        <f t="shared" si="7"/>
        <v>8.3333333333333259E-2</v>
      </c>
      <c r="F220" s="1070">
        <f t="shared" si="7"/>
        <v>0</v>
      </c>
    </row>
    <row r="221" spans="2:6" ht="12.6" customHeight="1" thickBot="1" x14ac:dyDescent="0.3">
      <c r="B221" s="1158" t="s">
        <v>17</v>
      </c>
      <c r="C221" s="1152"/>
      <c r="D221" s="1070">
        <f t="shared" si="7"/>
        <v>9.0909090909090828E-2</v>
      </c>
      <c r="E221" s="1070">
        <f t="shared" si="7"/>
        <v>8.3333333333333481E-2</v>
      </c>
      <c r="F221" s="1070">
        <f t="shared" si="7"/>
        <v>0</v>
      </c>
    </row>
    <row r="222" spans="2:6" ht="12.6" customHeight="1" thickBot="1" x14ac:dyDescent="0.3">
      <c r="B222" s="2976" t="s">
        <v>895</v>
      </c>
      <c r="C222" s="2977"/>
      <c r="D222" s="2977"/>
      <c r="E222" s="2977"/>
      <c r="F222" s="2978"/>
    </row>
    <row r="223" spans="2:6" ht="12.6" customHeight="1" x14ac:dyDescent="0.25">
      <c r="B223" s="2974"/>
      <c r="C223" s="828">
        <v>2018</v>
      </c>
      <c r="D223" s="828">
        <v>2019</v>
      </c>
      <c r="E223" s="828">
        <v>2020</v>
      </c>
      <c r="F223" s="828">
        <v>2021</v>
      </c>
    </row>
    <row r="224" spans="2:6" ht="12.6" customHeight="1" thickBot="1" x14ac:dyDescent="0.3">
      <c r="B224" s="2975"/>
      <c r="C224" s="827" t="s">
        <v>6</v>
      </c>
      <c r="D224" s="827" t="s">
        <v>7</v>
      </c>
      <c r="E224" s="827" t="s">
        <v>7</v>
      </c>
      <c r="F224" s="827" t="s">
        <v>7</v>
      </c>
    </row>
    <row r="225" spans="2:6" ht="12.6" customHeight="1" thickBot="1" x14ac:dyDescent="0.3">
      <c r="B225" s="981" t="s">
        <v>0</v>
      </c>
      <c r="C225" s="818"/>
      <c r="D225" s="818"/>
      <c r="E225" s="818"/>
      <c r="F225" s="818"/>
    </row>
    <row r="226" spans="2:6" ht="12.6" customHeight="1" thickBot="1" x14ac:dyDescent="0.3">
      <c r="B226" s="981" t="s">
        <v>49</v>
      </c>
      <c r="C226" s="818"/>
      <c r="D226" s="818"/>
      <c r="E226" s="818"/>
      <c r="F226" s="818"/>
    </row>
    <row r="227" spans="2:6" ht="12.6" customHeight="1" thickBot="1" x14ac:dyDescent="0.3">
      <c r="B227" s="981" t="s">
        <v>1</v>
      </c>
      <c r="C227" s="805"/>
      <c r="D227" s="818"/>
      <c r="E227" s="818"/>
      <c r="F227" s="818"/>
    </row>
    <row r="228" spans="2:6" ht="12.6" customHeight="1" thickBot="1" x14ac:dyDescent="0.3">
      <c r="B228" s="981" t="s">
        <v>2</v>
      </c>
      <c r="C228" s="805"/>
      <c r="D228" s="818"/>
      <c r="E228" s="818"/>
      <c r="F228" s="818"/>
    </row>
    <row r="229" spans="2:6" ht="12.6" customHeight="1" thickBot="1" x14ac:dyDescent="0.3">
      <c r="B229" s="981" t="s">
        <v>28</v>
      </c>
      <c r="C229" s="805">
        <f>C217</f>
        <v>11000</v>
      </c>
      <c r="D229" s="818">
        <f>D217</f>
        <v>12000</v>
      </c>
      <c r="E229" s="818">
        <f>E217</f>
        <v>13000</v>
      </c>
      <c r="F229" s="818">
        <f>F217</f>
        <v>13000</v>
      </c>
    </row>
    <row r="230" spans="2:6" ht="12.6" customHeight="1" thickBot="1" x14ac:dyDescent="0.3">
      <c r="B230" s="981" t="s">
        <v>30</v>
      </c>
      <c r="C230" s="805"/>
      <c r="D230" s="818"/>
      <c r="E230" s="818"/>
      <c r="F230" s="818"/>
    </row>
    <row r="231" spans="2:6" ht="12.6" customHeight="1" thickBot="1" x14ac:dyDescent="0.3">
      <c r="B231" s="981" t="s">
        <v>3</v>
      </c>
      <c r="C231" s="805"/>
      <c r="D231" s="818"/>
      <c r="E231" s="818"/>
      <c r="F231" s="818"/>
    </row>
    <row r="232" spans="2:6" ht="12.6" customHeight="1" thickBot="1" x14ac:dyDescent="0.3">
      <c r="B232" s="1074" t="s">
        <v>71</v>
      </c>
      <c r="C232" s="805">
        <f>C231+C230+C229+C228+C227+C226+C225</f>
        <v>11000</v>
      </c>
      <c r="D232" s="805">
        <f>D231+D230+D229+D228+D227+D226+D225</f>
        <v>12000</v>
      </c>
      <c r="E232" s="805">
        <f>E231+E230+E229+E228+E227+E226+E225</f>
        <v>13000</v>
      </c>
      <c r="F232" s="805">
        <f>F231+F230+F229+F228+F227+F226+F225</f>
        <v>13000</v>
      </c>
    </row>
    <row r="233" spans="2:6" ht="12.6" customHeight="1" thickBot="1" x14ac:dyDescent="0.3">
      <c r="B233" s="1071" t="s">
        <v>70</v>
      </c>
      <c r="C233" s="801">
        <f>IF(C232-C217=0,0,"Error")</f>
        <v>0</v>
      </c>
      <c r="D233" s="801">
        <f>IF(D232-D217=0,0,"Error")</f>
        <v>0</v>
      </c>
      <c r="E233" s="801">
        <f>IF(E232-E217=0,0,"Error")</f>
        <v>0</v>
      </c>
      <c r="F233" s="801">
        <f>IF(F232-F217=0,0,"Error")</f>
        <v>0</v>
      </c>
    </row>
    <row r="234" spans="2:6" ht="12.6" customHeight="1" thickBot="1" x14ac:dyDescent="0.3">
      <c r="B234" s="2979" t="s">
        <v>535</v>
      </c>
      <c r="C234" s="2980"/>
      <c r="D234" s="2980"/>
      <c r="E234" s="2980"/>
      <c r="F234" s="2981"/>
    </row>
    <row r="235" spans="2:6" ht="12.6" customHeight="1" thickBot="1" x14ac:dyDescent="0.3">
      <c r="B235" s="2979" t="s">
        <v>121</v>
      </c>
      <c r="C235" s="2980"/>
      <c r="D235" s="2980"/>
      <c r="E235" s="2980"/>
      <c r="F235" s="2981"/>
    </row>
    <row r="236" spans="2:6" ht="12.6" customHeight="1" thickBot="1" x14ac:dyDescent="0.3">
      <c r="B236" s="1066" t="s">
        <v>45</v>
      </c>
      <c r="C236" s="2552" t="s">
        <v>916</v>
      </c>
      <c r="D236" s="2553"/>
      <c r="E236" s="2553"/>
      <c r="F236" s="2554"/>
    </row>
    <row r="237" spans="2:6" ht="24.6" customHeight="1" thickBot="1" x14ac:dyDescent="0.3">
      <c r="B237" s="1158" t="s">
        <v>10</v>
      </c>
      <c r="C237" s="3037" t="s">
        <v>917</v>
      </c>
      <c r="D237" s="3038"/>
      <c r="E237" s="3038"/>
      <c r="F237" s="3039"/>
    </row>
    <row r="238" spans="2:6" ht="12.6" customHeight="1" thickBot="1" x14ac:dyDescent="0.3">
      <c r="B238" s="1067" t="s">
        <v>13</v>
      </c>
      <c r="C238" s="2564" t="s">
        <v>918</v>
      </c>
      <c r="D238" s="2565"/>
      <c r="E238" s="2565"/>
      <c r="F238" s="2566"/>
    </row>
    <row r="239" spans="2:6" ht="12.6" customHeight="1" x14ac:dyDescent="0.25">
      <c r="B239" s="2974"/>
      <c r="C239" s="828">
        <v>2018</v>
      </c>
      <c r="D239" s="828">
        <v>2019</v>
      </c>
      <c r="E239" s="828">
        <v>2020</v>
      </c>
      <c r="F239" s="828">
        <v>2021</v>
      </c>
    </row>
    <row r="240" spans="2:6" ht="12.6" customHeight="1" thickBot="1" x14ac:dyDescent="0.3">
      <c r="B240" s="2975"/>
      <c r="C240" s="827" t="s">
        <v>6</v>
      </c>
      <c r="D240" s="827" t="s">
        <v>7</v>
      </c>
      <c r="E240" s="827" t="s">
        <v>7</v>
      </c>
      <c r="F240" s="827" t="s">
        <v>7</v>
      </c>
    </row>
    <row r="241" spans="2:6" ht="12.6" customHeight="1" thickBot="1" x14ac:dyDescent="0.3">
      <c r="B241" s="1158" t="s">
        <v>9</v>
      </c>
      <c r="C241" s="1069">
        <v>600</v>
      </c>
      <c r="D241" s="1069">
        <v>700</v>
      </c>
      <c r="E241" s="1069">
        <v>800</v>
      </c>
      <c r="F241" s="1069">
        <v>900</v>
      </c>
    </row>
    <row r="242" spans="2:6" ht="12.6" customHeight="1" thickBot="1" x14ac:dyDescent="0.3">
      <c r="B242" s="1158" t="s">
        <v>14</v>
      </c>
      <c r="C242" s="1073">
        <v>1000</v>
      </c>
      <c r="D242" s="1073">
        <v>1200</v>
      </c>
      <c r="E242" s="1073">
        <v>1400</v>
      </c>
      <c r="F242" s="1073">
        <v>1800</v>
      </c>
    </row>
    <row r="243" spans="2:6" ht="12.6" customHeight="1" thickBot="1" x14ac:dyDescent="0.3">
      <c r="B243" s="1158" t="s">
        <v>23</v>
      </c>
      <c r="C243" s="1081">
        <f>C242/C241</f>
        <v>1.6666666666666667</v>
      </c>
      <c r="D243" s="1081">
        <f>D242/D241</f>
        <v>1.7142857142857142</v>
      </c>
      <c r="E243" s="1081">
        <f>E242/E241</f>
        <v>1.75</v>
      </c>
      <c r="F243" s="1081">
        <f>F242/F241</f>
        <v>2</v>
      </c>
    </row>
    <row r="244" spans="2:6" ht="12.6" customHeight="1" thickBot="1" x14ac:dyDescent="0.3">
      <c r="B244" s="1158" t="s">
        <v>15</v>
      </c>
      <c r="C244" s="1152" t="s">
        <v>21</v>
      </c>
      <c r="D244" s="1070">
        <f t="shared" ref="D244:F246" si="8">D241/C241-1</f>
        <v>0.16666666666666674</v>
      </c>
      <c r="E244" s="1070">
        <f t="shared" si="8"/>
        <v>0.14285714285714279</v>
      </c>
      <c r="F244" s="1070">
        <f t="shared" si="8"/>
        <v>0.125</v>
      </c>
    </row>
    <row r="245" spans="2:6" ht="12.6" customHeight="1" thickBot="1" x14ac:dyDescent="0.3">
      <c r="B245" s="1158" t="s">
        <v>16</v>
      </c>
      <c r="C245" s="1152" t="s">
        <v>21</v>
      </c>
      <c r="D245" s="1070">
        <f t="shared" si="8"/>
        <v>0.19999999999999996</v>
      </c>
      <c r="E245" s="1070">
        <f t="shared" si="8"/>
        <v>0.16666666666666674</v>
      </c>
      <c r="F245" s="1070">
        <f t="shared" si="8"/>
        <v>0.28571428571428581</v>
      </c>
    </row>
    <row r="246" spans="2:6" ht="12.6" customHeight="1" thickBot="1" x14ac:dyDescent="0.3">
      <c r="B246" s="1158" t="s">
        <v>17</v>
      </c>
      <c r="C246" s="1152" t="s">
        <v>21</v>
      </c>
      <c r="D246" s="1070">
        <f t="shared" si="8"/>
        <v>2.857142857142847E-2</v>
      </c>
      <c r="E246" s="1070">
        <f t="shared" si="8"/>
        <v>2.0833333333333481E-2</v>
      </c>
      <c r="F246" s="1070">
        <f t="shared" si="8"/>
        <v>0.14285714285714279</v>
      </c>
    </row>
    <row r="247" spans="2:6" ht="12.6" customHeight="1" thickBot="1" x14ac:dyDescent="0.3">
      <c r="B247" s="2976" t="s">
        <v>707</v>
      </c>
      <c r="C247" s="2977"/>
      <c r="D247" s="2977"/>
      <c r="E247" s="2977"/>
      <c r="F247" s="2978"/>
    </row>
    <row r="248" spans="2:6" ht="12.6" customHeight="1" x14ac:dyDescent="0.25">
      <c r="B248" s="2974"/>
      <c r="C248" s="828">
        <v>2018</v>
      </c>
      <c r="D248" s="828">
        <v>2019</v>
      </c>
      <c r="E248" s="828">
        <v>2020</v>
      </c>
      <c r="F248" s="828">
        <v>2021</v>
      </c>
    </row>
    <row r="249" spans="2:6" ht="12.6" customHeight="1" thickBot="1" x14ac:dyDescent="0.3">
      <c r="B249" s="2975"/>
      <c r="C249" s="827" t="s">
        <v>6</v>
      </c>
      <c r="D249" s="827" t="s">
        <v>7</v>
      </c>
      <c r="E249" s="827" t="s">
        <v>7</v>
      </c>
      <c r="F249" s="827" t="s">
        <v>7</v>
      </c>
    </row>
    <row r="250" spans="2:6" ht="12.6" customHeight="1" thickBot="1" x14ac:dyDescent="0.3">
      <c r="B250" s="981" t="s">
        <v>0</v>
      </c>
      <c r="C250" s="818"/>
      <c r="D250" s="818"/>
      <c r="E250" s="818"/>
      <c r="F250" s="818"/>
    </row>
    <row r="251" spans="2:6" ht="12.6" customHeight="1" thickBot="1" x14ac:dyDescent="0.3">
      <c r="B251" s="981" t="s">
        <v>49</v>
      </c>
      <c r="C251" s="818"/>
      <c r="D251" s="818"/>
      <c r="E251" s="818"/>
      <c r="F251" s="818"/>
    </row>
    <row r="252" spans="2:6" ht="12.6" customHeight="1" thickBot="1" x14ac:dyDescent="0.3">
      <c r="B252" s="981" t="s">
        <v>1</v>
      </c>
      <c r="C252" s="805"/>
      <c r="D252" s="818"/>
      <c r="E252" s="818"/>
      <c r="F252" s="818"/>
    </row>
    <row r="253" spans="2:6" ht="12.6" customHeight="1" thickBot="1" x14ac:dyDescent="0.3">
      <c r="B253" s="981" t="s">
        <v>2</v>
      </c>
      <c r="C253" s="805"/>
      <c r="D253" s="818"/>
      <c r="E253" s="818"/>
      <c r="F253" s="818"/>
    </row>
    <row r="254" spans="2:6" ht="12.6" customHeight="1" thickBot="1" x14ac:dyDescent="0.3">
      <c r="B254" s="981" t="s">
        <v>28</v>
      </c>
      <c r="C254" s="794">
        <f>C242</f>
        <v>1000</v>
      </c>
      <c r="D254" s="794">
        <f>D242</f>
        <v>1200</v>
      </c>
      <c r="E254" s="794">
        <f>E242</f>
        <v>1400</v>
      </c>
      <c r="F254" s="794">
        <f>F242</f>
        <v>1800</v>
      </c>
    </row>
    <row r="255" spans="2:6" ht="12.6" customHeight="1" thickBot="1" x14ac:dyDescent="0.3">
      <c r="B255" s="981" t="s">
        <v>30</v>
      </c>
      <c r="C255" s="805"/>
      <c r="D255" s="818"/>
      <c r="E255" s="818"/>
      <c r="F255" s="818"/>
    </row>
    <row r="256" spans="2:6" ht="12.6" customHeight="1" thickBot="1" x14ac:dyDescent="0.3">
      <c r="B256" s="981" t="s">
        <v>3</v>
      </c>
      <c r="C256" s="805"/>
      <c r="D256" s="818"/>
      <c r="E256" s="818"/>
      <c r="F256" s="818"/>
    </row>
    <row r="257" spans="2:6" ht="12.6" customHeight="1" thickBot="1" x14ac:dyDescent="0.3">
      <c r="B257" s="980" t="s">
        <v>68</v>
      </c>
      <c r="C257" s="805">
        <f>C256+C255+C254+C253+C252+C251+C250</f>
        <v>1000</v>
      </c>
      <c r="D257" s="805">
        <f>D256+D255+D254+D253+D252+D251+D250</f>
        <v>1200</v>
      </c>
      <c r="E257" s="805">
        <f>E256+E255+E254+E253+E252+E251+E250</f>
        <v>1400</v>
      </c>
      <c r="F257" s="805">
        <f>F256+F255+F254+F253+F252+F251+F250</f>
        <v>1800</v>
      </c>
    </row>
    <row r="258" spans="2:6" ht="12.6" customHeight="1" thickBot="1" x14ac:dyDescent="0.3">
      <c r="B258" s="1071" t="s">
        <v>70</v>
      </c>
      <c r="C258" s="801">
        <f>C257-C242</f>
        <v>0</v>
      </c>
      <c r="D258" s="801">
        <f>D257-D242</f>
        <v>0</v>
      </c>
      <c r="E258" s="801">
        <f>E257-E242</f>
        <v>0</v>
      </c>
      <c r="F258" s="801">
        <f>F257-F242</f>
        <v>0</v>
      </c>
    </row>
    <row r="259" spans="2:6" ht="12.6" customHeight="1" thickBot="1" x14ac:dyDescent="0.3">
      <c r="B259" s="2979" t="s">
        <v>535</v>
      </c>
      <c r="C259" s="2980"/>
      <c r="D259" s="2980"/>
      <c r="E259" s="2980"/>
      <c r="F259" s="2981"/>
    </row>
    <row r="260" spans="2:6" ht="12.6" customHeight="1" thickBot="1" x14ac:dyDescent="0.3">
      <c r="B260" s="1066" t="s">
        <v>892</v>
      </c>
      <c r="C260" s="2552" t="s">
        <v>919</v>
      </c>
      <c r="D260" s="2553"/>
      <c r="E260" s="2553"/>
      <c r="F260" s="2554"/>
    </row>
    <row r="261" spans="2:6" ht="12.6" customHeight="1" thickBot="1" x14ac:dyDescent="0.3">
      <c r="B261" s="1158" t="s">
        <v>10</v>
      </c>
      <c r="C261" s="3040" t="s">
        <v>920</v>
      </c>
      <c r="D261" s="3041"/>
      <c r="E261" s="3041"/>
      <c r="F261" s="3042"/>
    </row>
    <row r="262" spans="2:6" ht="12.6" customHeight="1" thickBot="1" x14ac:dyDescent="0.3">
      <c r="B262" s="1067" t="s">
        <v>13</v>
      </c>
      <c r="C262" s="2564" t="s">
        <v>921</v>
      </c>
      <c r="D262" s="2565"/>
      <c r="E262" s="2565"/>
      <c r="F262" s="2566"/>
    </row>
    <row r="263" spans="2:6" ht="12.6" customHeight="1" x14ac:dyDescent="0.25">
      <c r="B263" s="2974"/>
      <c r="C263" s="828">
        <v>2018</v>
      </c>
      <c r="D263" s="828">
        <v>2019</v>
      </c>
      <c r="E263" s="828">
        <v>2020</v>
      </c>
      <c r="F263" s="828">
        <v>2021</v>
      </c>
    </row>
    <row r="264" spans="2:6" ht="12.6" customHeight="1" thickBot="1" x14ac:dyDescent="0.3">
      <c r="B264" s="2975"/>
      <c r="C264" s="827" t="s">
        <v>6</v>
      </c>
      <c r="D264" s="827" t="s">
        <v>7</v>
      </c>
      <c r="E264" s="827" t="s">
        <v>7</v>
      </c>
      <c r="F264" s="827" t="s">
        <v>7</v>
      </c>
    </row>
    <row r="265" spans="2:6" ht="12.6" customHeight="1" thickBot="1" x14ac:dyDescent="0.3">
      <c r="B265" s="1158" t="s">
        <v>9</v>
      </c>
      <c r="C265" s="1069">
        <v>5</v>
      </c>
      <c r="D265" s="1069">
        <v>10</v>
      </c>
      <c r="E265" s="1069">
        <v>10</v>
      </c>
      <c r="F265" s="1069">
        <v>10</v>
      </c>
    </row>
    <row r="266" spans="2:6" ht="12.6" customHeight="1" thickBot="1" x14ac:dyDescent="0.3">
      <c r="B266" s="1158" t="s">
        <v>14</v>
      </c>
      <c r="C266" s="1073">
        <v>1000</v>
      </c>
      <c r="D266" s="1073">
        <v>2000</v>
      </c>
      <c r="E266" s="1073">
        <v>2000</v>
      </c>
      <c r="F266" s="1073">
        <v>2000</v>
      </c>
    </row>
    <row r="267" spans="2:6" ht="12.6" customHeight="1" thickBot="1" x14ac:dyDescent="0.3">
      <c r="B267" s="1158" t="s">
        <v>23</v>
      </c>
      <c r="C267" s="1073">
        <f>C266/C265</f>
        <v>200</v>
      </c>
      <c r="D267" s="1073">
        <f>D266/D265</f>
        <v>200</v>
      </c>
      <c r="E267" s="1073">
        <f>E266/E265</f>
        <v>200</v>
      </c>
      <c r="F267" s="1073">
        <f>F266/F265</f>
        <v>200</v>
      </c>
    </row>
    <row r="268" spans="2:6" ht="12.6" customHeight="1" thickBot="1" x14ac:dyDescent="0.3">
      <c r="B268" s="1158" t="s">
        <v>15</v>
      </c>
      <c r="C268" s="1152" t="s">
        <v>21</v>
      </c>
      <c r="D268" s="1070">
        <f t="shared" ref="D268:F270" si="9">D265/C265-1</f>
        <v>1</v>
      </c>
      <c r="E268" s="1070">
        <f t="shared" si="9"/>
        <v>0</v>
      </c>
      <c r="F268" s="1070">
        <f t="shared" si="9"/>
        <v>0</v>
      </c>
    </row>
    <row r="269" spans="2:6" ht="12.6" customHeight="1" thickBot="1" x14ac:dyDescent="0.3">
      <c r="B269" s="1158" t="s">
        <v>16</v>
      </c>
      <c r="C269" s="1152" t="s">
        <v>21</v>
      </c>
      <c r="D269" s="1070">
        <f t="shared" si="9"/>
        <v>1</v>
      </c>
      <c r="E269" s="1070">
        <f t="shared" si="9"/>
        <v>0</v>
      </c>
      <c r="F269" s="1070">
        <f t="shared" si="9"/>
        <v>0</v>
      </c>
    </row>
    <row r="270" spans="2:6" ht="12.6" customHeight="1" thickBot="1" x14ac:dyDescent="0.3">
      <c r="B270" s="1158" t="s">
        <v>17</v>
      </c>
      <c r="C270" s="1152" t="s">
        <v>21</v>
      </c>
      <c r="D270" s="1070">
        <f t="shared" si="9"/>
        <v>0</v>
      </c>
      <c r="E270" s="1070">
        <f t="shared" si="9"/>
        <v>0</v>
      </c>
      <c r="F270" s="1070">
        <f t="shared" si="9"/>
        <v>0</v>
      </c>
    </row>
    <row r="271" spans="2:6" ht="12.6" customHeight="1" thickBot="1" x14ac:dyDescent="0.3">
      <c r="B271" s="2976" t="s">
        <v>729</v>
      </c>
      <c r="C271" s="2977"/>
      <c r="D271" s="2977"/>
      <c r="E271" s="2977"/>
      <c r="F271" s="2978"/>
    </row>
    <row r="272" spans="2:6" ht="12.6" customHeight="1" x14ac:dyDescent="0.25">
      <c r="B272" s="2974"/>
      <c r="C272" s="828">
        <v>2018</v>
      </c>
      <c r="D272" s="828">
        <v>2019</v>
      </c>
      <c r="E272" s="828">
        <v>2020</v>
      </c>
      <c r="F272" s="828">
        <v>2021</v>
      </c>
    </row>
    <row r="273" spans="2:6" ht="12.6" customHeight="1" thickBot="1" x14ac:dyDescent="0.3">
      <c r="B273" s="2975"/>
      <c r="C273" s="827" t="s">
        <v>6</v>
      </c>
      <c r="D273" s="827" t="s">
        <v>7</v>
      </c>
      <c r="E273" s="827" t="s">
        <v>7</v>
      </c>
      <c r="F273" s="827" t="s">
        <v>7</v>
      </c>
    </row>
    <row r="274" spans="2:6" ht="12.6" customHeight="1" thickBot="1" x14ac:dyDescent="0.3">
      <c r="B274" s="981" t="s">
        <v>0</v>
      </c>
      <c r="C274" s="818"/>
      <c r="D274" s="818"/>
      <c r="E274" s="818"/>
      <c r="F274" s="818"/>
    </row>
    <row r="275" spans="2:6" ht="12.6" customHeight="1" thickBot="1" x14ac:dyDescent="0.3">
      <c r="B275" s="981" t="s">
        <v>49</v>
      </c>
      <c r="C275" s="818"/>
      <c r="D275" s="818"/>
      <c r="E275" s="818"/>
      <c r="F275" s="818"/>
    </row>
    <row r="276" spans="2:6" ht="12.6" customHeight="1" thickBot="1" x14ac:dyDescent="0.3">
      <c r="B276" s="981" t="s">
        <v>1</v>
      </c>
      <c r="C276" s="805"/>
      <c r="D276" s="818"/>
      <c r="E276" s="818"/>
      <c r="F276" s="818"/>
    </row>
    <row r="277" spans="2:6" ht="12.6" customHeight="1" thickBot="1" x14ac:dyDescent="0.3">
      <c r="B277" s="981" t="s">
        <v>2</v>
      </c>
      <c r="C277" s="805"/>
      <c r="D277" s="818"/>
      <c r="E277" s="818"/>
      <c r="F277" s="818"/>
    </row>
    <row r="278" spans="2:6" ht="12.6" customHeight="1" thickBot="1" x14ac:dyDescent="0.3">
      <c r="B278" s="981" t="s">
        <v>28</v>
      </c>
      <c r="C278" s="794">
        <f>C266</f>
        <v>1000</v>
      </c>
      <c r="D278" s="794">
        <f>D266</f>
        <v>2000</v>
      </c>
      <c r="E278" s="794">
        <f>E266</f>
        <v>2000</v>
      </c>
      <c r="F278" s="794">
        <f>F266</f>
        <v>2000</v>
      </c>
    </row>
    <row r="279" spans="2:6" ht="12.6" customHeight="1" thickBot="1" x14ac:dyDescent="0.3">
      <c r="B279" s="981" t="s">
        <v>30</v>
      </c>
      <c r="C279" s="805"/>
      <c r="D279" s="818"/>
      <c r="E279" s="818"/>
      <c r="F279" s="818"/>
    </row>
    <row r="280" spans="2:6" ht="12.6" customHeight="1" thickBot="1" x14ac:dyDescent="0.3">
      <c r="B280" s="981" t="s">
        <v>3</v>
      </c>
      <c r="C280" s="805"/>
      <c r="D280" s="818"/>
      <c r="E280" s="818"/>
      <c r="F280" s="818"/>
    </row>
    <row r="281" spans="2:6" ht="12.6" customHeight="1" thickBot="1" x14ac:dyDescent="0.3">
      <c r="B281" s="980" t="s">
        <v>68</v>
      </c>
      <c r="C281" s="805">
        <f>C280+C279+C278+C277+C276+C275+C274</f>
        <v>1000</v>
      </c>
      <c r="D281" s="805">
        <f>D280+D279+D278+D277+D276+D275+D274</f>
        <v>2000</v>
      </c>
      <c r="E281" s="805">
        <f>E280+E279+E278+E277+E276+E275+E274</f>
        <v>2000</v>
      </c>
      <c r="F281" s="805">
        <f>F280+F279+F278+F277+F276+F275+F274</f>
        <v>2000</v>
      </c>
    </row>
    <row r="282" spans="2:6" ht="12.6" customHeight="1" thickBot="1" x14ac:dyDescent="0.3">
      <c r="B282" s="1071" t="s">
        <v>70</v>
      </c>
      <c r="C282" s="801">
        <f>C281-C266</f>
        <v>0</v>
      </c>
      <c r="D282" s="801">
        <f>D281-D266</f>
        <v>0</v>
      </c>
      <c r="E282" s="801">
        <f>E281-E266</f>
        <v>0</v>
      </c>
      <c r="F282" s="801">
        <f>F281-F266</f>
        <v>0</v>
      </c>
    </row>
    <row r="283" spans="2:6" ht="12.6" customHeight="1" thickBot="1" x14ac:dyDescent="0.3">
      <c r="B283" s="2979" t="s">
        <v>535</v>
      </c>
      <c r="C283" s="2980"/>
      <c r="D283" s="2980"/>
      <c r="E283" s="2980"/>
      <c r="F283" s="2981"/>
    </row>
    <row r="284" spans="2:6" ht="12.6" customHeight="1" thickBot="1" x14ac:dyDescent="0.3">
      <c r="B284" s="1066" t="s">
        <v>896</v>
      </c>
      <c r="C284" s="2552" t="s">
        <v>922</v>
      </c>
      <c r="D284" s="2553"/>
      <c r="E284" s="2553"/>
      <c r="F284" s="2554"/>
    </row>
    <row r="285" spans="2:6" ht="12.6" customHeight="1" thickBot="1" x14ac:dyDescent="0.3">
      <c r="B285" s="1158" t="s">
        <v>10</v>
      </c>
      <c r="C285" s="3037" t="s">
        <v>1009</v>
      </c>
      <c r="D285" s="3038"/>
      <c r="E285" s="3038"/>
      <c r="F285" s="3039"/>
    </row>
    <row r="286" spans="2:6" ht="12.6" customHeight="1" thickBot="1" x14ac:dyDescent="0.3">
      <c r="B286" s="1067" t="s">
        <v>13</v>
      </c>
      <c r="C286" s="2564" t="s">
        <v>924</v>
      </c>
      <c r="D286" s="2565"/>
      <c r="E286" s="2565"/>
      <c r="F286" s="2566"/>
    </row>
    <row r="287" spans="2:6" ht="12.6" customHeight="1" x14ac:dyDescent="0.25">
      <c r="B287" s="2974"/>
      <c r="C287" s="828">
        <v>2018</v>
      </c>
      <c r="D287" s="828">
        <v>2019</v>
      </c>
      <c r="E287" s="828">
        <v>2020</v>
      </c>
      <c r="F287" s="828">
        <v>2021</v>
      </c>
    </row>
    <row r="288" spans="2:6" ht="12.6" customHeight="1" thickBot="1" x14ac:dyDescent="0.3">
      <c r="B288" s="2975"/>
      <c r="C288" s="827" t="s">
        <v>6</v>
      </c>
      <c r="D288" s="827" t="s">
        <v>7</v>
      </c>
      <c r="E288" s="827" t="s">
        <v>7</v>
      </c>
      <c r="F288" s="827" t="s">
        <v>7</v>
      </c>
    </row>
    <row r="289" spans="2:6" ht="12.6" customHeight="1" thickBot="1" x14ac:dyDescent="0.3">
      <c r="B289" s="1158" t="s">
        <v>9</v>
      </c>
      <c r="C289" s="1069">
        <v>1</v>
      </c>
      <c r="D289" s="1069">
        <v>1</v>
      </c>
      <c r="E289" s="1069">
        <v>1</v>
      </c>
      <c r="F289" s="1069">
        <v>1</v>
      </c>
    </row>
    <row r="290" spans="2:6" ht="12.6" customHeight="1" thickBot="1" x14ac:dyDescent="0.3">
      <c r="B290" s="1158" t="s">
        <v>14</v>
      </c>
      <c r="C290" s="1073">
        <v>100</v>
      </c>
      <c r="D290" s="1073">
        <v>100</v>
      </c>
      <c r="E290" s="1073">
        <v>100</v>
      </c>
      <c r="F290" s="1073">
        <v>100</v>
      </c>
    </row>
    <row r="291" spans="2:6" ht="12.6" customHeight="1" thickBot="1" x14ac:dyDescent="0.3">
      <c r="B291" s="1158" t="s">
        <v>23</v>
      </c>
      <c r="C291" s="1073">
        <f>C290/C289</f>
        <v>100</v>
      </c>
      <c r="D291" s="1073">
        <f>D290/D289</f>
        <v>100</v>
      </c>
      <c r="E291" s="1073">
        <f>E290/E289</f>
        <v>100</v>
      </c>
      <c r="F291" s="1073">
        <f>F290/F289</f>
        <v>100</v>
      </c>
    </row>
    <row r="292" spans="2:6" ht="12.6" customHeight="1" thickBot="1" x14ac:dyDescent="0.3">
      <c r="B292" s="1158" t="s">
        <v>15</v>
      </c>
      <c r="C292" s="1152" t="s">
        <v>21</v>
      </c>
      <c r="D292" s="1070">
        <f t="shared" ref="D292:F294" si="10">D289/C289-1</f>
        <v>0</v>
      </c>
      <c r="E292" s="1070">
        <f t="shared" si="10"/>
        <v>0</v>
      </c>
      <c r="F292" s="1070">
        <f t="shared" si="10"/>
        <v>0</v>
      </c>
    </row>
    <row r="293" spans="2:6" ht="12.6" customHeight="1" thickBot="1" x14ac:dyDescent="0.3">
      <c r="B293" s="1158" t="s">
        <v>16</v>
      </c>
      <c r="C293" s="1152" t="s">
        <v>21</v>
      </c>
      <c r="D293" s="1070">
        <f t="shared" si="10"/>
        <v>0</v>
      </c>
      <c r="E293" s="1070">
        <f t="shared" si="10"/>
        <v>0</v>
      </c>
      <c r="F293" s="1070">
        <f t="shared" si="10"/>
        <v>0</v>
      </c>
    </row>
    <row r="294" spans="2:6" ht="12.6" customHeight="1" thickBot="1" x14ac:dyDescent="0.3">
      <c r="B294" s="1158" t="s">
        <v>17</v>
      </c>
      <c r="C294" s="1152" t="s">
        <v>21</v>
      </c>
      <c r="D294" s="1070">
        <f t="shared" si="10"/>
        <v>0</v>
      </c>
      <c r="E294" s="1070">
        <f t="shared" si="10"/>
        <v>0</v>
      </c>
      <c r="F294" s="1070">
        <f t="shared" si="10"/>
        <v>0</v>
      </c>
    </row>
    <row r="295" spans="2:6" ht="12.6" customHeight="1" thickBot="1" x14ac:dyDescent="0.3">
      <c r="B295" s="2976" t="s">
        <v>724</v>
      </c>
      <c r="C295" s="2977"/>
      <c r="D295" s="2977"/>
      <c r="E295" s="2977"/>
      <c r="F295" s="2978"/>
    </row>
    <row r="296" spans="2:6" ht="12.6" customHeight="1" x14ac:dyDescent="0.25">
      <c r="B296" s="2974"/>
      <c r="C296" s="828">
        <v>2018</v>
      </c>
      <c r="D296" s="828">
        <v>2019</v>
      </c>
      <c r="E296" s="828">
        <v>2020</v>
      </c>
      <c r="F296" s="828">
        <v>2021</v>
      </c>
    </row>
    <row r="297" spans="2:6" ht="12.6" customHeight="1" thickBot="1" x14ac:dyDescent="0.3">
      <c r="B297" s="2975"/>
      <c r="C297" s="827" t="s">
        <v>6</v>
      </c>
      <c r="D297" s="827" t="s">
        <v>7</v>
      </c>
      <c r="E297" s="827" t="s">
        <v>7</v>
      </c>
      <c r="F297" s="827" t="s">
        <v>7</v>
      </c>
    </row>
    <row r="298" spans="2:6" ht="12.6" customHeight="1" thickBot="1" x14ac:dyDescent="0.3">
      <c r="B298" s="981" t="s">
        <v>0</v>
      </c>
      <c r="C298" s="818"/>
      <c r="D298" s="818"/>
      <c r="E298" s="818"/>
      <c r="F298" s="818"/>
    </row>
    <row r="299" spans="2:6" ht="12.6" customHeight="1" thickBot="1" x14ac:dyDescent="0.3">
      <c r="B299" s="981" t="s">
        <v>49</v>
      </c>
      <c r="C299" s="818"/>
      <c r="D299" s="818"/>
      <c r="E299" s="818"/>
      <c r="F299" s="818"/>
    </row>
    <row r="300" spans="2:6" ht="12.6" customHeight="1" thickBot="1" x14ac:dyDescent="0.3">
      <c r="B300" s="981" t="s">
        <v>1</v>
      </c>
      <c r="C300" s="805">
        <f>C290</f>
        <v>100</v>
      </c>
      <c r="D300" s="805">
        <f>D290</f>
        <v>100</v>
      </c>
      <c r="E300" s="805">
        <f>E290</f>
        <v>100</v>
      </c>
      <c r="F300" s="805">
        <f>F290</f>
        <v>100</v>
      </c>
    </row>
    <row r="301" spans="2:6" ht="12.6" customHeight="1" thickBot="1" x14ac:dyDescent="0.3">
      <c r="B301" s="981" t="s">
        <v>2</v>
      </c>
      <c r="C301" s="805"/>
      <c r="D301" s="818"/>
      <c r="E301" s="818"/>
      <c r="F301" s="818"/>
    </row>
    <row r="302" spans="2:6" ht="12.6" customHeight="1" thickBot="1" x14ac:dyDescent="0.3">
      <c r="B302" s="981" t="s">
        <v>28</v>
      </c>
      <c r="C302" s="794"/>
      <c r="D302" s="794"/>
      <c r="E302" s="794"/>
      <c r="F302" s="794"/>
    </row>
    <row r="303" spans="2:6" ht="12.6" customHeight="1" thickBot="1" x14ac:dyDescent="0.3">
      <c r="B303" s="981" t="s">
        <v>30</v>
      </c>
      <c r="C303" s="805"/>
      <c r="D303" s="818"/>
      <c r="E303" s="818"/>
      <c r="F303" s="818"/>
    </row>
    <row r="304" spans="2:6" ht="12.6" customHeight="1" thickBot="1" x14ac:dyDescent="0.3">
      <c r="B304" s="981" t="s">
        <v>3</v>
      </c>
      <c r="C304" s="805"/>
      <c r="D304" s="818"/>
      <c r="E304" s="818"/>
      <c r="F304" s="818"/>
    </row>
    <row r="305" spans="2:6" ht="12.6" customHeight="1" thickBot="1" x14ac:dyDescent="0.3">
      <c r="B305" s="980" t="s">
        <v>925</v>
      </c>
      <c r="C305" s="805">
        <f>C300</f>
        <v>100</v>
      </c>
      <c r="D305" s="805">
        <f>D300</f>
        <v>100</v>
      </c>
      <c r="E305" s="805">
        <f>E300</f>
        <v>100</v>
      </c>
      <c r="F305" s="805">
        <f>F300</f>
        <v>100</v>
      </c>
    </row>
    <row r="306" spans="2:6" ht="12.6" customHeight="1" thickBot="1" x14ac:dyDescent="0.3">
      <c r="B306" s="1071" t="s">
        <v>70</v>
      </c>
      <c r="C306" s="801">
        <f>C305-C300</f>
        <v>0</v>
      </c>
      <c r="D306" s="801">
        <f>D305-D300</f>
        <v>0</v>
      </c>
      <c r="E306" s="801">
        <f>E305-E300</f>
        <v>0</v>
      </c>
      <c r="F306" s="801">
        <f>F305-F300</f>
        <v>0</v>
      </c>
    </row>
    <row r="307" spans="2:6" ht="12.6" customHeight="1" thickBot="1" x14ac:dyDescent="0.3">
      <c r="B307" s="2979" t="s">
        <v>535</v>
      </c>
      <c r="C307" s="2980"/>
      <c r="D307" s="2980"/>
      <c r="E307" s="2980"/>
      <c r="F307" s="2981"/>
    </row>
    <row r="308" spans="2:6" ht="12.6" customHeight="1" thickBot="1" x14ac:dyDescent="0.3">
      <c r="B308" s="1066" t="s">
        <v>909</v>
      </c>
      <c r="C308" s="2552" t="s">
        <v>926</v>
      </c>
      <c r="D308" s="2553"/>
      <c r="E308" s="2553"/>
      <c r="F308" s="2554"/>
    </row>
    <row r="309" spans="2:6" ht="24" customHeight="1" thickBot="1" x14ac:dyDescent="0.3">
      <c r="B309" s="1158" t="s">
        <v>10</v>
      </c>
      <c r="C309" s="3037" t="s">
        <v>927</v>
      </c>
      <c r="D309" s="3038"/>
      <c r="E309" s="3038"/>
      <c r="F309" s="3039"/>
    </row>
    <row r="310" spans="2:6" ht="12.6" customHeight="1" thickBot="1" x14ac:dyDescent="0.3">
      <c r="B310" s="1067" t="s">
        <v>13</v>
      </c>
      <c r="C310" s="2564" t="s">
        <v>928</v>
      </c>
      <c r="D310" s="2565"/>
      <c r="E310" s="2565"/>
      <c r="F310" s="2566"/>
    </row>
    <row r="311" spans="2:6" ht="12.6" customHeight="1" x14ac:dyDescent="0.25">
      <c r="B311" s="2974"/>
      <c r="C311" s="828">
        <v>2018</v>
      </c>
      <c r="D311" s="828">
        <v>2019</v>
      </c>
      <c r="E311" s="828">
        <v>2020</v>
      </c>
      <c r="F311" s="828">
        <v>2021</v>
      </c>
    </row>
    <row r="312" spans="2:6" ht="12.6" customHeight="1" thickBot="1" x14ac:dyDescent="0.3">
      <c r="B312" s="2975"/>
      <c r="C312" s="827" t="s">
        <v>6</v>
      </c>
      <c r="D312" s="827" t="s">
        <v>7</v>
      </c>
      <c r="E312" s="827" t="s">
        <v>7</v>
      </c>
      <c r="F312" s="827" t="s">
        <v>7</v>
      </c>
    </row>
    <row r="313" spans="2:6" ht="12.6" customHeight="1" thickBot="1" x14ac:dyDescent="0.3">
      <c r="B313" s="1158" t="s">
        <v>9</v>
      </c>
      <c r="C313" s="1069">
        <v>5</v>
      </c>
      <c r="D313" s="1069">
        <v>8</v>
      </c>
      <c r="E313" s="1069">
        <v>10</v>
      </c>
      <c r="F313" s="1069">
        <v>10</v>
      </c>
    </row>
    <row r="314" spans="2:6" ht="12.6" customHeight="1" thickBot="1" x14ac:dyDescent="0.3">
      <c r="B314" s="1158" t="s">
        <v>14</v>
      </c>
      <c r="C314" s="1073">
        <v>500</v>
      </c>
      <c r="D314" s="1073">
        <v>800</v>
      </c>
      <c r="E314" s="1073">
        <v>1000</v>
      </c>
      <c r="F314" s="1073">
        <v>1000</v>
      </c>
    </row>
    <row r="315" spans="2:6" ht="12.6" customHeight="1" thickBot="1" x14ac:dyDescent="0.3">
      <c r="B315" s="1158" t="s">
        <v>23</v>
      </c>
      <c r="C315" s="1073">
        <f>C314/C313</f>
        <v>100</v>
      </c>
      <c r="D315" s="1073">
        <f>D314/D313</f>
        <v>100</v>
      </c>
      <c r="E315" s="1073">
        <f>E314/E313</f>
        <v>100</v>
      </c>
      <c r="F315" s="1073">
        <f>F314/F313</f>
        <v>100</v>
      </c>
    </row>
    <row r="316" spans="2:6" ht="12.6" customHeight="1" thickBot="1" x14ac:dyDescent="0.3">
      <c r="B316" s="1158" t="s">
        <v>15</v>
      </c>
      <c r="C316" s="1152" t="s">
        <v>21</v>
      </c>
      <c r="D316" s="1070">
        <f t="shared" ref="D316:F318" si="11">D313/C313-1</f>
        <v>0.60000000000000009</v>
      </c>
      <c r="E316" s="1070">
        <f t="shared" si="11"/>
        <v>0.25</v>
      </c>
      <c r="F316" s="1070">
        <f t="shared" si="11"/>
        <v>0</v>
      </c>
    </row>
    <row r="317" spans="2:6" ht="12.6" customHeight="1" thickBot="1" x14ac:dyDescent="0.3">
      <c r="B317" s="1158" t="s">
        <v>16</v>
      </c>
      <c r="C317" s="1152" t="s">
        <v>21</v>
      </c>
      <c r="D317" s="1070">
        <f t="shared" si="11"/>
        <v>0.60000000000000009</v>
      </c>
      <c r="E317" s="1070">
        <f t="shared" si="11"/>
        <v>0.25</v>
      </c>
      <c r="F317" s="1070">
        <f t="shared" si="11"/>
        <v>0</v>
      </c>
    </row>
    <row r="318" spans="2:6" ht="12.6" customHeight="1" thickBot="1" x14ac:dyDescent="0.3">
      <c r="B318" s="1158" t="s">
        <v>17</v>
      </c>
      <c r="C318" s="1152" t="s">
        <v>21</v>
      </c>
      <c r="D318" s="1070">
        <f t="shared" si="11"/>
        <v>0</v>
      </c>
      <c r="E318" s="1070">
        <f t="shared" si="11"/>
        <v>0</v>
      </c>
      <c r="F318" s="1070">
        <f t="shared" si="11"/>
        <v>0</v>
      </c>
    </row>
    <row r="319" spans="2:6" ht="12.6" customHeight="1" thickBot="1" x14ac:dyDescent="0.3">
      <c r="B319" s="2976" t="s">
        <v>929</v>
      </c>
      <c r="C319" s="2977"/>
      <c r="D319" s="2977"/>
      <c r="E319" s="2977"/>
      <c r="F319" s="2978"/>
    </row>
    <row r="320" spans="2:6" ht="12.6" customHeight="1" x14ac:dyDescent="0.25">
      <c r="B320" s="2974"/>
      <c r="C320" s="828">
        <v>2018</v>
      </c>
      <c r="D320" s="828">
        <v>2019</v>
      </c>
      <c r="E320" s="828">
        <v>2020</v>
      </c>
      <c r="F320" s="828">
        <v>2021</v>
      </c>
    </row>
    <row r="321" spans="2:10" ht="12.6" customHeight="1" thickBot="1" x14ac:dyDescent="0.3">
      <c r="B321" s="2975"/>
      <c r="C321" s="827" t="s">
        <v>6</v>
      </c>
      <c r="D321" s="827" t="s">
        <v>7</v>
      </c>
      <c r="E321" s="827" t="s">
        <v>7</v>
      </c>
      <c r="F321" s="827" t="s">
        <v>7</v>
      </c>
    </row>
    <row r="322" spans="2:10" ht="12.6" customHeight="1" thickBot="1" x14ac:dyDescent="0.3">
      <c r="B322" s="981" t="s">
        <v>0</v>
      </c>
      <c r="C322" s="818"/>
      <c r="D322" s="818"/>
      <c r="E322" s="818"/>
      <c r="F322" s="818"/>
    </row>
    <row r="323" spans="2:10" ht="12.6" customHeight="1" thickBot="1" x14ac:dyDescent="0.3">
      <c r="B323" s="981" t="s">
        <v>49</v>
      </c>
      <c r="C323" s="818"/>
      <c r="D323" s="818"/>
      <c r="E323" s="818"/>
      <c r="F323" s="818"/>
    </row>
    <row r="324" spans="2:10" ht="12.6" customHeight="1" thickBot="1" x14ac:dyDescent="0.3">
      <c r="B324" s="981" t="s">
        <v>1</v>
      </c>
      <c r="C324" s="805"/>
      <c r="D324" s="818"/>
      <c r="E324" s="818"/>
      <c r="F324" s="818"/>
    </row>
    <row r="325" spans="2:10" ht="12.6" customHeight="1" thickBot="1" x14ac:dyDescent="0.3">
      <c r="B325" s="981" t="s">
        <v>2</v>
      </c>
      <c r="C325" s="805"/>
      <c r="D325" s="818"/>
      <c r="E325" s="818"/>
      <c r="F325" s="818"/>
    </row>
    <row r="326" spans="2:10" ht="12.6" customHeight="1" thickBot="1" x14ac:dyDescent="0.3">
      <c r="B326" s="981" t="s">
        <v>28</v>
      </c>
      <c r="C326" s="794">
        <f>C314</f>
        <v>500</v>
      </c>
      <c r="D326" s="794">
        <f>D314</f>
        <v>800</v>
      </c>
      <c r="E326" s="794">
        <f>E314</f>
        <v>1000</v>
      </c>
      <c r="F326" s="794">
        <f>F314</f>
        <v>1000</v>
      </c>
    </row>
    <row r="327" spans="2:10" ht="12.6" customHeight="1" thickBot="1" x14ac:dyDescent="0.3">
      <c r="B327" s="981" t="s">
        <v>30</v>
      </c>
      <c r="C327" s="805"/>
      <c r="D327" s="818"/>
      <c r="E327" s="818"/>
      <c r="F327" s="818"/>
    </row>
    <row r="328" spans="2:10" ht="12.6" customHeight="1" thickBot="1" x14ac:dyDescent="0.3">
      <c r="B328" s="981" t="s">
        <v>3</v>
      </c>
      <c r="C328" s="805"/>
      <c r="D328" s="818"/>
      <c r="E328" s="818"/>
      <c r="F328" s="818"/>
    </row>
    <row r="329" spans="2:10" ht="12.6" customHeight="1" thickBot="1" x14ac:dyDescent="0.3">
      <c r="B329" s="980" t="s">
        <v>748</v>
      </c>
      <c r="C329" s="805">
        <f>C326</f>
        <v>500</v>
      </c>
      <c r="D329" s="805">
        <f>D326</f>
        <v>800</v>
      </c>
      <c r="E329" s="805">
        <f>E326</f>
        <v>1000</v>
      </c>
      <c r="F329" s="805">
        <f>F326</f>
        <v>1000</v>
      </c>
      <c r="G329" s="1083">
        <f>C329+C305+C281+C257</f>
        <v>2600</v>
      </c>
      <c r="H329" s="1083">
        <f>D329+D305+D281+D257</f>
        <v>4100</v>
      </c>
      <c r="I329" s="1083">
        <f>E329+E305+E281+E257</f>
        <v>4500</v>
      </c>
      <c r="J329" s="1083">
        <f>F329+F305+F281+F257</f>
        <v>4900</v>
      </c>
    </row>
    <row r="330" spans="2:10" ht="12.6" customHeight="1" thickBot="1" x14ac:dyDescent="0.3">
      <c r="B330" s="1071" t="s">
        <v>70</v>
      </c>
      <c r="C330" s="801">
        <f>C329-C314</f>
        <v>0</v>
      </c>
      <c r="D330" s="801">
        <f>D329-D314</f>
        <v>0</v>
      </c>
      <c r="E330" s="801">
        <f>E329-E314</f>
        <v>0</v>
      </c>
      <c r="F330" s="801">
        <f>F329-F314</f>
        <v>0</v>
      </c>
    </row>
    <row r="331" spans="2:10" ht="12.6" customHeight="1" thickBot="1" x14ac:dyDescent="0.3">
      <c r="B331" s="2979" t="s">
        <v>535</v>
      </c>
      <c r="C331" s="2980"/>
      <c r="D331" s="2980"/>
      <c r="E331" s="2980"/>
      <c r="F331" s="2981"/>
    </row>
    <row r="332" spans="2:10" ht="12.6" customHeight="1" thickBot="1" x14ac:dyDescent="0.3">
      <c r="B332" s="1066" t="s">
        <v>930</v>
      </c>
      <c r="C332" s="2552" t="s">
        <v>931</v>
      </c>
      <c r="D332" s="2553"/>
      <c r="E332" s="2553"/>
      <c r="F332" s="2554"/>
    </row>
    <row r="333" spans="2:10" ht="51.6" customHeight="1" thickBot="1" x14ac:dyDescent="0.3">
      <c r="B333" s="1158" t="s">
        <v>10</v>
      </c>
      <c r="C333" s="3037" t="s">
        <v>932</v>
      </c>
      <c r="D333" s="3038"/>
      <c r="E333" s="3038"/>
      <c r="F333" s="3039"/>
    </row>
    <row r="334" spans="2:10" ht="12.6" customHeight="1" thickBot="1" x14ac:dyDescent="0.3">
      <c r="B334" s="1067" t="s">
        <v>13</v>
      </c>
      <c r="C334" s="2564" t="s">
        <v>933</v>
      </c>
      <c r="D334" s="2565"/>
      <c r="E334" s="2565"/>
      <c r="F334" s="2566"/>
    </row>
    <row r="335" spans="2:10" ht="12.6" customHeight="1" x14ac:dyDescent="0.25">
      <c r="B335" s="2974"/>
      <c r="C335" s="828">
        <v>2018</v>
      </c>
      <c r="D335" s="828">
        <v>2019</v>
      </c>
      <c r="E335" s="828">
        <v>2020</v>
      </c>
      <c r="F335" s="828">
        <v>2021</v>
      </c>
    </row>
    <row r="336" spans="2:10" ht="12.6" customHeight="1" thickBot="1" x14ac:dyDescent="0.3">
      <c r="B336" s="2975"/>
      <c r="C336" s="827" t="s">
        <v>6</v>
      </c>
      <c r="D336" s="827" t="s">
        <v>7</v>
      </c>
      <c r="E336" s="827" t="s">
        <v>7</v>
      </c>
      <c r="F336" s="827" t="s">
        <v>7</v>
      </c>
    </row>
    <row r="337" spans="2:10" ht="12.6" customHeight="1" thickBot="1" x14ac:dyDescent="0.3">
      <c r="B337" s="1158" t="s">
        <v>9</v>
      </c>
      <c r="C337" s="1069">
        <v>22</v>
      </c>
      <c r="D337" s="1069">
        <v>25</v>
      </c>
      <c r="E337" s="1069">
        <v>28</v>
      </c>
      <c r="F337" s="1069">
        <v>30</v>
      </c>
    </row>
    <row r="338" spans="2:10" ht="12.6" customHeight="1" thickBot="1" x14ac:dyDescent="0.3">
      <c r="B338" s="1158" t="s">
        <v>14</v>
      </c>
      <c r="C338" s="1084">
        <f>49800-2100</f>
        <v>47700</v>
      </c>
      <c r="D338" s="1084">
        <f>56800-2600</f>
        <v>54200</v>
      </c>
      <c r="E338" s="1084">
        <f>63800-3000</f>
        <v>60800</v>
      </c>
      <c r="F338" s="1084">
        <f>68800-3400</f>
        <v>65400</v>
      </c>
      <c r="G338" s="1083">
        <f>C338</f>
        <v>47700</v>
      </c>
      <c r="H338" s="1083">
        <f>D338</f>
        <v>54200</v>
      </c>
      <c r="I338" s="1083">
        <f>E338</f>
        <v>60800</v>
      </c>
      <c r="J338" s="1083">
        <f>F338</f>
        <v>65400</v>
      </c>
    </row>
    <row r="339" spans="2:10" ht="12.6" customHeight="1" thickBot="1" x14ac:dyDescent="0.3">
      <c r="B339" s="1158" t="s">
        <v>23</v>
      </c>
      <c r="C339" s="1073">
        <f>C338/C337</f>
        <v>2168.181818181818</v>
      </c>
      <c r="D339" s="1073">
        <f>D338/D337</f>
        <v>2168</v>
      </c>
      <c r="E339" s="1073">
        <f>E338/E337</f>
        <v>2171.4285714285716</v>
      </c>
      <c r="F339" s="1073">
        <f>F338/F337</f>
        <v>2180</v>
      </c>
    </row>
    <row r="340" spans="2:10" ht="12.6" customHeight="1" thickBot="1" x14ac:dyDescent="0.3">
      <c r="B340" s="1158" t="s">
        <v>15</v>
      </c>
      <c r="C340" s="1152" t="s">
        <v>21</v>
      </c>
      <c r="D340" s="1070">
        <f t="shared" ref="D340:F342" si="12">D337/C337-1</f>
        <v>0.13636363636363646</v>
      </c>
      <c r="E340" s="1070">
        <f t="shared" si="12"/>
        <v>0.12000000000000011</v>
      </c>
      <c r="F340" s="1070">
        <f t="shared" si="12"/>
        <v>7.1428571428571397E-2</v>
      </c>
    </row>
    <row r="341" spans="2:10" ht="12.6" customHeight="1" thickBot="1" x14ac:dyDescent="0.3">
      <c r="B341" s="1158" t="s">
        <v>16</v>
      </c>
      <c r="C341" s="1152" t="s">
        <v>21</v>
      </c>
      <c r="D341" s="1070">
        <f t="shared" si="12"/>
        <v>0.13626834381551367</v>
      </c>
      <c r="E341" s="1070">
        <f t="shared" si="12"/>
        <v>0.12177121771217703</v>
      </c>
      <c r="F341" s="1070">
        <f t="shared" si="12"/>
        <v>7.5657894736842035E-2</v>
      </c>
    </row>
    <row r="342" spans="2:10" ht="12.6" customHeight="1" thickBot="1" x14ac:dyDescent="0.3">
      <c r="B342" s="1158" t="s">
        <v>17</v>
      </c>
      <c r="C342" s="1152" t="s">
        <v>21</v>
      </c>
      <c r="D342" s="1070">
        <f t="shared" si="12"/>
        <v>-8.3857442347956557E-5</v>
      </c>
      <c r="E342" s="1070">
        <f t="shared" si="12"/>
        <v>1.5814443858725991E-3</v>
      </c>
      <c r="F342" s="1070">
        <f t="shared" si="12"/>
        <v>3.9473684210524773E-3</v>
      </c>
    </row>
    <row r="343" spans="2:10" ht="12.6" customHeight="1" thickBot="1" x14ac:dyDescent="0.3">
      <c r="B343" s="2976" t="s">
        <v>706</v>
      </c>
      <c r="C343" s="2977"/>
      <c r="D343" s="2977"/>
      <c r="E343" s="2977"/>
      <c r="F343" s="2978"/>
    </row>
    <row r="344" spans="2:10" ht="12.6" customHeight="1" x14ac:dyDescent="0.25">
      <c r="B344" s="2974"/>
      <c r="C344" s="828">
        <v>2018</v>
      </c>
      <c r="D344" s="828">
        <v>2019</v>
      </c>
      <c r="E344" s="828">
        <v>2020</v>
      </c>
      <c r="F344" s="828">
        <v>2021</v>
      </c>
    </row>
    <row r="345" spans="2:10" ht="12.6" customHeight="1" thickBot="1" x14ac:dyDescent="0.3">
      <c r="B345" s="2975"/>
      <c r="C345" s="827" t="s">
        <v>6</v>
      </c>
      <c r="D345" s="827" t="s">
        <v>7</v>
      </c>
      <c r="E345" s="827" t="s">
        <v>7</v>
      </c>
      <c r="F345" s="827" t="s">
        <v>7</v>
      </c>
    </row>
    <row r="346" spans="2:10" ht="12.6" customHeight="1" thickBot="1" x14ac:dyDescent="0.3">
      <c r="B346" s="981" t="s">
        <v>0</v>
      </c>
      <c r="C346" s="818">
        <v>20000</v>
      </c>
      <c r="D346" s="818">
        <v>20000</v>
      </c>
      <c r="E346" s="818">
        <v>20000</v>
      </c>
      <c r="F346" s="818">
        <v>20000</v>
      </c>
    </row>
    <row r="347" spans="2:10" ht="12.6" customHeight="1" thickBot="1" x14ac:dyDescent="0.3">
      <c r="B347" s="981" t="s">
        <v>49</v>
      </c>
      <c r="C347" s="818">
        <v>4000</v>
      </c>
      <c r="D347" s="818">
        <v>4000</v>
      </c>
      <c r="E347" s="818">
        <v>4000</v>
      </c>
      <c r="F347" s="818">
        <v>4000</v>
      </c>
    </row>
    <row r="348" spans="2:10" ht="12.6" customHeight="1" thickBot="1" x14ac:dyDescent="0.3">
      <c r="B348" s="981" t="s">
        <v>1</v>
      </c>
      <c r="C348" s="805">
        <v>21900</v>
      </c>
      <c r="D348" s="818">
        <v>5200</v>
      </c>
      <c r="E348" s="818">
        <v>11800</v>
      </c>
      <c r="F348" s="818">
        <v>16400</v>
      </c>
    </row>
    <row r="349" spans="2:10" ht="12.6" customHeight="1" thickBot="1" x14ac:dyDescent="0.3">
      <c r="B349" s="981" t="s">
        <v>2</v>
      </c>
      <c r="C349" s="805"/>
      <c r="D349" s="818"/>
      <c r="E349" s="818"/>
      <c r="F349" s="818"/>
    </row>
    <row r="350" spans="2:10" ht="12.6" customHeight="1" thickBot="1" x14ac:dyDescent="0.3">
      <c r="B350" s="981" t="s">
        <v>28</v>
      </c>
      <c r="C350" s="805">
        <v>0</v>
      </c>
      <c r="D350" s="805"/>
      <c r="E350" s="805"/>
      <c r="F350" s="805"/>
    </row>
    <row r="351" spans="2:10" ht="12.6" customHeight="1" thickBot="1" x14ac:dyDescent="0.3">
      <c r="B351" s="981" t="s">
        <v>30</v>
      </c>
      <c r="C351" s="805">
        <v>1800</v>
      </c>
      <c r="D351" s="818">
        <v>25000</v>
      </c>
      <c r="E351" s="818">
        <v>25000</v>
      </c>
      <c r="F351" s="818">
        <v>25000</v>
      </c>
    </row>
    <row r="352" spans="2:10" ht="12.6" customHeight="1" thickBot="1" x14ac:dyDescent="0.3">
      <c r="B352" s="981" t="s">
        <v>3</v>
      </c>
      <c r="C352" s="805"/>
      <c r="D352" s="818"/>
      <c r="E352" s="818"/>
      <c r="F352" s="818"/>
    </row>
    <row r="353" spans="2:10" ht="12.6" customHeight="1" thickBot="1" x14ac:dyDescent="0.3">
      <c r="B353" s="1085" t="s">
        <v>72</v>
      </c>
      <c r="C353" s="1086">
        <f>SUM(C346:C352)</f>
        <v>47700</v>
      </c>
      <c r="D353" s="1086">
        <f>SUM(D346:D352)</f>
        <v>54200</v>
      </c>
      <c r="E353" s="1086">
        <f>SUM(E346:E352)</f>
        <v>60800</v>
      </c>
      <c r="F353" s="1086">
        <f>SUM(F346:F352)</f>
        <v>65400</v>
      </c>
    </row>
    <row r="354" spans="2:10" ht="12.6" customHeight="1" thickBot="1" x14ac:dyDescent="0.3">
      <c r="B354" s="1071" t="s">
        <v>70</v>
      </c>
      <c r="C354" s="801">
        <f>C353-C338</f>
        <v>0</v>
      </c>
      <c r="D354" s="801">
        <f>D353-D338</f>
        <v>0</v>
      </c>
      <c r="E354" s="801">
        <f>E353-E338</f>
        <v>0</v>
      </c>
      <c r="F354" s="801">
        <f>F353-F338</f>
        <v>0</v>
      </c>
    </row>
    <row r="355" spans="2:10" ht="12.6" customHeight="1" thickBot="1" x14ac:dyDescent="0.3">
      <c r="B355" s="2979" t="s">
        <v>630</v>
      </c>
      <c r="C355" s="2980"/>
      <c r="D355" s="2980"/>
      <c r="E355" s="2980"/>
      <c r="F355" s="2981"/>
    </row>
    <row r="356" spans="2:10" ht="12.6" customHeight="1" thickBot="1" x14ac:dyDescent="0.3">
      <c r="B356" s="2979" t="s">
        <v>100</v>
      </c>
      <c r="C356" s="2980"/>
      <c r="D356" s="2980"/>
      <c r="E356" s="2980"/>
      <c r="F356" s="2981"/>
    </row>
    <row r="357" spans="2:10" ht="12.6" customHeight="1" thickBot="1" x14ac:dyDescent="0.3">
      <c r="B357" s="2979" t="s">
        <v>106</v>
      </c>
      <c r="C357" s="2980"/>
      <c r="D357" s="2980"/>
      <c r="E357" s="2980"/>
      <c r="F357" s="2981"/>
    </row>
    <row r="358" spans="2:10" ht="12.6" customHeight="1" thickBot="1" x14ac:dyDescent="0.3">
      <c r="B358" s="1066" t="s">
        <v>45</v>
      </c>
      <c r="C358" s="2552" t="s">
        <v>934</v>
      </c>
      <c r="D358" s="2553"/>
      <c r="E358" s="2553"/>
      <c r="F358" s="2554"/>
    </row>
    <row r="359" spans="2:10" ht="31.15" customHeight="1" thickBot="1" x14ac:dyDescent="0.3">
      <c r="B359" s="1158" t="s">
        <v>10</v>
      </c>
      <c r="C359" s="3037" t="s">
        <v>935</v>
      </c>
      <c r="D359" s="3038"/>
      <c r="E359" s="3038"/>
      <c r="F359" s="3039"/>
    </row>
    <row r="360" spans="2:10" ht="12.6" customHeight="1" thickBot="1" x14ac:dyDescent="0.3">
      <c r="B360" s="1067" t="s">
        <v>13</v>
      </c>
      <c r="C360" s="2564" t="s">
        <v>936</v>
      </c>
      <c r="D360" s="2565"/>
      <c r="E360" s="2565"/>
      <c r="F360" s="2566"/>
    </row>
    <row r="361" spans="2:10" ht="12.6" customHeight="1" x14ac:dyDescent="0.25">
      <c r="B361" s="2974"/>
      <c r="C361" s="828">
        <v>2018</v>
      </c>
      <c r="D361" s="828">
        <v>2019</v>
      </c>
      <c r="E361" s="828">
        <v>2020</v>
      </c>
      <c r="F361" s="828">
        <v>2021</v>
      </c>
    </row>
    <row r="362" spans="2:10" ht="12.6" customHeight="1" thickBot="1" x14ac:dyDescent="0.3">
      <c r="B362" s="2975"/>
      <c r="C362" s="827" t="s">
        <v>6</v>
      </c>
      <c r="D362" s="827" t="s">
        <v>7</v>
      </c>
      <c r="E362" s="827" t="s">
        <v>7</v>
      </c>
      <c r="F362" s="827" t="s">
        <v>7</v>
      </c>
    </row>
    <row r="363" spans="2:10" ht="12.6" customHeight="1" thickBot="1" x14ac:dyDescent="0.3">
      <c r="B363" s="1158" t="s">
        <v>9</v>
      </c>
      <c r="C363" s="1069">
        <v>2</v>
      </c>
      <c r="D363" s="1069">
        <v>3</v>
      </c>
      <c r="E363" s="1069">
        <v>3</v>
      </c>
      <c r="F363" s="1069">
        <v>3</v>
      </c>
    </row>
    <row r="364" spans="2:10" ht="12.6" customHeight="1" thickBot="1" x14ac:dyDescent="0.3">
      <c r="B364" s="1158" t="s">
        <v>14</v>
      </c>
      <c r="C364" s="1073">
        <v>50000</v>
      </c>
      <c r="D364" s="1073">
        <v>100000</v>
      </c>
      <c r="E364" s="1073">
        <v>100000</v>
      </c>
      <c r="F364" s="1073">
        <v>100000</v>
      </c>
      <c r="G364" s="1083">
        <f>C364</f>
        <v>50000</v>
      </c>
      <c r="H364" s="1083">
        <f>D364</f>
        <v>100000</v>
      </c>
      <c r="I364" s="1083">
        <f>E364</f>
        <v>100000</v>
      </c>
      <c r="J364" s="1083">
        <f>F364</f>
        <v>100000</v>
      </c>
    </row>
    <row r="365" spans="2:10" ht="12.6" customHeight="1" thickBot="1" x14ac:dyDescent="0.3">
      <c r="B365" s="1158" t="s">
        <v>23</v>
      </c>
      <c r="C365" s="1073">
        <f>C364/C363</f>
        <v>25000</v>
      </c>
      <c r="D365" s="1073">
        <f>D364/D363</f>
        <v>33333.333333333336</v>
      </c>
      <c r="E365" s="1073">
        <f>E364/E363</f>
        <v>33333.333333333336</v>
      </c>
      <c r="F365" s="1073">
        <f>F364/F363</f>
        <v>33333.333333333336</v>
      </c>
    </row>
    <row r="366" spans="2:10" ht="12.6" customHeight="1" thickBot="1" x14ac:dyDescent="0.3">
      <c r="B366" s="1158" t="s">
        <v>15</v>
      </c>
      <c r="C366" s="1152" t="s">
        <v>21</v>
      </c>
      <c r="D366" s="1070">
        <f t="shared" ref="D366:F368" si="13">D363/C363-1</f>
        <v>0.5</v>
      </c>
      <c r="E366" s="1070">
        <f t="shared" si="13"/>
        <v>0</v>
      </c>
      <c r="F366" s="1070">
        <f t="shared" si="13"/>
        <v>0</v>
      </c>
    </row>
    <row r="367" spans="2:10" ht="12.6" customHeight="1" thickBot="1" x14ac:dyDescent="0.3">
      <c r="B367" s="1158" t="s">
        <v>16</v>
      </c>
      <c r="C367" s="1152" t="s">
        <v>21</v>
      </c>
      <c r="D367" s="1070">
        <f t="shared" si="13"/>
        <v>1</v>
      </c>
      <c r="E367" s="1070">
        <f t="shared" si="13"/>
        <v>0</v>
      </c>
      <c r="F367" s="1070">
        <f t="shared" si="13"/>
        <v>0</v>
      </c>
    </row>
    <row r="368" spans="2:10" ht="12.6" customHeight="1" thickBot="1" x14ac:dyDescent="0.3">
      <c r="B368" s="1158" t="s">
        <v>17</v>
      </c>
      <c r="C368" s="1152" t="s">
        <v>21</v>
      </c>
      <c r="D368" s="1070">
        <f t="shared" si="13"/>
        <v>0.33333333333333348</v>
      </c>
      <c r="E368" s="1070">
        <f t="shared" si="13"/>
        <v>0</v>
      </c>
      <c r="F368" s="1070">
        <f t="shared" si="13"/>
        <v>0</v>
      </c>
    </row>
    <row r="369" spans="2:11" ht="12.6" customHeight="1" thickBot="1" x14ac:dyDescent="0.3">
      <c r="B369" s="2976" t="s">
        <v>707</v>
      </c>
      <c r="C369" s="2977"/>
      <c r="D369" s="2977"/>
      <c r="E369" s="2977"/>
      <c r="F369" s="2978"/>
    </row>
    <row r="370" spans="2:11" ht="12.6" customHeight="1" x14ac:dyDescent="0.25">
      <c r="B370" s="2974"/>
      <c r="C370" s="828">
        <v>2018</v>
      </c>
      <c r="D370" s="828">
        <v>2019</v>
      </c>
      <c r="E370" s="828">
        <v>2020</v>
      </c>
      <c r="F370" s="828">
        <v>2021</v>
      </c>
    </row>
    <row r="371" spans="2:11" ht="12.6" customHeight="1" thickBot="1" x14ac:dyDescent="0.3">
      <c r="B371" s="2975"/>
      <c r="C371" s="827" t="s">
        <v>6</v>
      </c>
      <c r="D371" s="827" t="s">
        <v>7</v>
      </c>
      <c r="E371" s="827" t="s">
        <v>7</v>
      </c>
      <c r="F371" s="827" t="s">
        <v>7</v>
      </c>
    </row>
    <row r="372" spans="2:11" ht="12.6" customHeight="1" thickBot="1" x14ac:dyDescent="0.3">
      <c r="B372" s="981" t="s">
        <v>104</v>
      </c>
      <c r="C372" s="818"/>
      <c r="D372" s="818"/>
      <c r="E372" s="818"/>
      <c r="F372" s="818"/>
    </row>
    <row r="373" spans="2:11" ht="12.6" customHeight="1" thickBot="1" x14ac:dyDescent="0.3">
      <c r="B373" s="981" t="s">
        <v>105</v>
      </c>
      <c r="C373" s="805">
        <f>C364</f>
        <v>50000</v>
      </c>
      <c r="D373" s="805">
        <f>D364</f>
        <v>100000</v>
      </c>
      <c r="E373" s="805">
        <f>E364</f>
        <v>100000</v>
      </c>
      <c r="F373" s="805">
        <f>F364</f>
        <v>100000</v>
      </c>
    </row>
    <row r="374" spans="2:11" ht="12.6" customHeight="1" thickBot="1" x14ac:dyDescent="0.3">
      <c r="B374" s="980" t="s">
        <v>68</v>
      </c>
      <c r="C374" s="794">
        <f>C373</f>
        <v>50000</v>
      </c>
      <c r="D374" s="794">
        <f>D373</f>
        <v>100000</v>
      </c>
      <c r="E374" s="794">
        <f>E373</f>
        <v>100000</v>
      </c>
      <c r="F374" s="794">
        <f>F373</f>
        <v>100000</v>
      </c>
      <c r="G374" s="1087" t="s">
        <v>96</v>
      </c>
      <c r="H374" s="3047" t="s">
        <v>479</v>
      </c>
      <c r="I374" s="3048"/>
      <c r="J374" s="3048"/>
      <c r="K374" s="3049"/>
    </row>
    <row r="375" spans="2:11" ht="12.6" customHeight="1" thickBot="1" x14ac:dyDescent="0.3">
      <c r="B375" s="1071" t="s">
        <v>70</v>
      </c>
      <c r="C375" s="801">
        <f>C374-C364</f>
        <v>0</v>
      </c>
      <c r="D375" s="801">
        <f>D374-D364</f>
        <v>0</v>
      </c>
      <c r="E375" s="801">
        <f>E374-E364</f>
        <v>0</v>
      </c>
      <c r="F375" s="801">
        <f>F374-F364</f>
        <v>0</v>
      </c>
      <c r="G375" s="1088"/>
      <c r="H375" s="1088"/>
      <c r="I375" s="1088"/>
      <c r="J375" s="1088"/>
      <c r="K375" s="1089"/>
    </row>
    <row r="376" spans="2:11" ht="12.6" customHeight="1" thickBot="1" x14ac:dyDescent="0.3">
      <c r="B376" s="1090"/>
      <c r="C376" s="1091"/>
      <c r="D376" s="1091"/>
      <c r="E376" s="1091"/>
      <c r="F376" s="1091"/>
      <c r="G376" s="1092"/>
      <c r="H376" s="1087" t="s">
        <v>6</v>
      </c>
      <c r="I376" s="3047" t="s">
        <v>97</v>
      </c>
      <c r="J376" s="3048"/>
      <c r="K376" s="3049"/>
    </row>
    <row r="377" spans="2:11" ht="24" customHeight="1" thickBot="1" x14ac:dyDescent="0.3">
      <c r="B377" s="1093" t="s">
        <v>116</v>
      </c>
      <c r="C377" s="824">
        <f>C45+C69+C97+C116+C140+C168+C192+C217+C242+C266+C290+C314+C338+C364</f>
        <v>621816</v>
      </c>
      <c r="D377" s="824">
        <f>D45+D69+D97+D116+D140+D168+D192+D217+D242+D266+D290+D314+D338+D364</f>
        <v>807500</v>
      </c>
      <c r="E377" s="824">
        <f>E45+E69+E97+E116+E140+E168+E192+E217+E242+E266+E290+E314+E338+E364</f>
        <v>855200</v>
      </c>
      <c r="F377" s="824">
        <f>F45+F69+F97+F116+F140+F168+F192+F217+F242+F266+F290+F314+F338+F364</f>
        <v>886700</v>
      </c>
      <c r="G377" s="1087" t="s">
        <v>89</v>
      </c>
      <c r="H377" s="1094">
        <v>2018</v>
      </c>
      <c r="I377" s="1095">
        <v>2019</v>
      </c>
      <c r="J377" s="1095">
        <v>2020</v>
      </c>
      <c r="K377" s="1096">
        <v>2021</v>
      </c>
    </row>
    <row r="378" spans="2:11" ht="27" customHeight="1" thickBot="1" x14ac:dyDescent="0.3">
      <c r="B378" s="1093" t="s">
        <v>117</v>
      </c>
      <c r="C378" s="824">
        <f>C60+C84+C107+C131+C155+C183+C207+C232+C257+C281+C305+C329+C353+C374</f>
        <v>635816</v>
      </c>
      <c r="D378" s="824">
        <f>D60+D84+D107+D131+D155+D183+D207+D232+D257+D281+D305+D329+D353+D374</f>
        <v>863500</v>
      </c>
      <c r="E378" s="824">
        <f>E60+E84+E107+E131+E155+E183+E207+E232+E257+E281+E305+E329+E353+E374</f>
        <v>923900</v>
      </c>
      <c r="F378" s="824">
        <f>F60+F84+F107+F131+F155+F183+F207+F232+F257+F281+F305+F329+F353+F374</f>
        <v>955900</v>
      </c>
      <c r="G378" s="1097" t="s">
        <v>90</v>
      </c>
      <c r="H378" s="1098">
        <f>26840+29160</f>
        <v>56000</v>
      </c>
      <c r="I378" s="1098">
        <v>26840</v>
      </c>
      <c r="J378" s="1098">
        <v>26840</v>
      </c>
      <c r="K378" s="1099">
        <v>26840</v>
      </c>
    </row>
    <row r="379" spans="2:11" ht="12.6" customHeight="1" thickBot="1" x14ac:dyDescent="0.3">
      <c r="B379" s="1100" t="s">
        <v>24</v>
      </c>
      <c r="C379" s="821"/>
      <c r="D379" s="820">
        <f>D378/C378-1</f>
        <v>0.35809731117178556</v>
      </c>
      <c r="E379" s="820">
        <f>E378/D378-1</f>
        <v>6.9947886508396007E-2</v>
      </c>
      <c r="F379" s="820">
        <f>F378/E378-1</f>
        <v>3.4635783093408312E-2</v>
      </c>
      <c r="G379" s="1097" t="s">
        <v>91</v>
      </c>
      <c r="H379" s="1101">
        <f>261040-104540</f>
        <v>156500</v>
      </c>
      <c r="I379" s="1101">
        <f>261040-37880</f>
        <v>223160</v>
      </c>
      <c r="J379" s="1101">
        <f>261040+12120</f>
        <v>273160</v>
      </c>
      <c r="K379" s="1102">
        <f>261040+42120</f>
        <v>303160</v>
      </c>
    </row>
    <row r="380" spans="2:11" ht="12.6" customHeight="1" thickBot="1" x14ac:dyDescent="0.3">
      <c r="B380" s="981" t="s">
        <v>0</v>
      </c>
      <c r="C380" s="1103">
        <f>C53+C77+C124+C148+C176+C200+C225+C250+C274+C298+C322+C346</f>
        <v>47000</v>
      </c>
      <c r="D380" s="1103">
        <f>D53+D77+D124+D148+D176+D200+D225+D250+D274+D298+D322+D346</f>
        <v>47000</v>
      </c>
      <c r="E380" s="1103">
        <f>E53+E77+E124+E148+E176+E200+E225+E250+E274+E298+E322+E346</f>
        <v>47000</v>
      </c>
      <c r="F380" s="1103">
        <f>F53+F77+F124+F148+F176+F200+F225+F250+F274+F298+F322+F346</f>
        <v>47000</v>
      </c>
      <c r="G380" s="1097" t="s">
        <v>92</v>
      </c>
      <c r="H380" s="1098">
        <f>69816+240000</f>
        <v>309816</v>
      </c>
      <c r="I380" s="1098">
        <v>350000</v>
      </c>
      <c r="J380" s="1104">
        <v>350000</v>
      </c>
      <c r="K380" s="1105">
        <v>350000</v>
      </c>
    </row>
    <row r="381" spans="2:11" ht="12.6" customHeight="1" thickBot="1" x14ac:dyDescent="0.3">
      <c r="B381" s="1106" t="s">
        <v>25</v>
      </c>
      <c r="C381" s="1107"/>
      <c r="D381" s="1107"/>
      <c r="E381" s="1107"/>
      <c r="F381" s="1107"/>
      <c r="G381" s="1097" t="s">
        <v>93</v>
      </c>
      <c r="H381" s="1098">
        <v>0</v>
      </c>
      <c r="I381" s="1098">
        <v>100000</v>
      </c>
      <c r="J381" s="1104">
        <v>100000</v>
      </c>
      <c r="K381" s="1105">
        <v>100000</v>
      </c>
    </row>
    <row r="382" spans="2:11" ht="12.6" customHeight="1" thickBot="1" x14ac:dyDescent="0.3">
      <c r="B382" s="981" t="s">
        <v>49</v>
      </c>
      <c r="C382" s="1103">
        <f>C54+C78+C125+C149+C177+C201+C226+C251+C275+C323+C347</f>
        <v>9000</v>
      </c>
      <c r="D382" s="1103">
        <f>D54+D78+D125+D149+D177+D201+D226+D251+D275+D323+D347</f>
        <v>9000</v>
      </c>
      <c r="E382" s="1103">
        <f>E54+E78+E125+E149+E177+E201+E226+E251+E275+E323+E347</f>
        <v>9000</v>
      </c>
      <c r="F382" s="1103">
        <f>F54+F78+F125+F149+F177+F201+F226+F251+F275+F323+F347</f>
        <v>9000</v>
      </c>
      <c r="G382" s="1097" t="s">
        <v>94</v>
      </c>
      <c r="H382" s="1108">
        <v>0</v>
      </c>
      <c r="I382" s="1109">
        <v>0</v>
      </c>
      <c r="J382" s="1110">
        <v>0</v>
      </c>
      <c r="K382" s="1111">
        <v>0</v>
      </c>
    </row>
    <row r="383" spans="2:11" ht="12.6" customHeight="1" thickBot="1" x14ac:dyDescent="0.3">
      <c r="B383" s="1106" t="s">
        <v>50</v>
      </c>
      <c r="C383" s="805"/>
      <c r="D383" s="804">
        <f>D382/C382-1</f>
        <v>0</v>
      </c>
      <c r="E383" s="804">
        <f>E382/D382-1</f>
        <v>0</v>
      </c>
      <c r="F383" s="804">
        <f>F382/E382-1</f>
        <v>0</v>
      </c>
      <c r="G383" s="1097" t="s">
        <v>95</v>
      </c>
      <c r="H383" s="1101">
        <f>SUM(H378:H382)</f>
        <v>522316</v>
      </c>
      <c r="I383" s="1112">
        <f>SUM(I378:I382)</f>
        <v>700000</v>
      </c>
      <c r="J383" s="1113">
        <f>SUM(J378:J382)</f>
        <v>750000</v>
      </c>
      <c r="K383" s="1114">
        <f>SUM(K378:K382)</f>
        <v>780000</v>
      </c>
    </row>
    <row r="384" spans="2:11" ht="12.6" customHeight="1" thickBot="1" x14ac:dyDescent="0.3">
      <c r="B384" s="981" t="s">
        <v>1</v>
      </c>
      <c r="C384" s="1103">
        <f>C55+C79+C126+C149+C178+C202+C227+C252+C276+C300+C323+C348</f>
        <v>50000</v>
      </c>
      <c r="D384" s="1103">
        <f>D55+D79+D126+D149+D178+D202+D227+D252+D276+D300+D323+D348</f>
        <v>29300</v>
      </c>
      <c r="E384" s="1103">
        <f>E55+E79+E126+E149+E178+E202+E227+E252+E276+E300+E323+E348</f>
        <v>35900</v>
      </c>
      <c r="F384" s="1103">
        <f>F55+F79+F126+F149+F178+F202+F227+F252+F276+F300+F323+F348</f>
        <v>40500</v>
      </c>
    </row>
    <row r="385" spans="2:6" ht="12.6" customHeight="1" thickBot="1" x14ac:dyDescent="0.3">
      <c r="B385" s="1106" t="s">
        <v>26</v>
      </c>
      <c r="C385" s="805"/>
      <c r="D385" s="804">
        <f>D384/C384-1</f>
        <v>-0.41400000000000003</v>
      </c>
      <c r="E385" s="804">
        <f>E384/D384-1</f>
        <v>0.22525597269624575</v>
      </c>
      <c r="F385" s="804">
        <f>F384/E384-1</f>
        <v>0.12813370473537611</v>
      </c>
    </row>
    <row r="386" spans="2:6" ht="12.6" customHeight="1" thickBot="1" x14ac:dyDescent="0.3">
      <c r="B386" s="981" t="s">
        <v>2</v>
      </c>
      <c r="C386" s="818">
        <v>0</v>
      </c>
      <c r="D386" s="818">
        <v>0</v>
      </c>
      <c r="E386" s="818">
        <v>0</v>
      </c>
      <c r="F386" s="818">
        <v>0</v>
      </c>
    </row>
    <row r="387" spans="2:6" ht="12.6" customHeight="1" thickBot="1" x14ac:dyDescent="0.3">
      <c r="B387" s="1106" t="s">
        <v>27</v>
      </c>
      <c r="C387" s="805"/>
      <c r="D387" s="804">
        <v>0</v>
      </c>
      <c r="E387" s="804">
        <v>0</v>
      </c>
      <c r="F387" s="804">
        <v>0</v>
      </c>
    </row>
    <row r="388" spans="2:6" ht="12.6" customHeight="1" thickBot="1" x14ac:dyDescent="0.3">
      <c r="B388" s="981" t="s">
        <v>28</v>
      </c>
      <c r="C388" s="814">
        <f>C57+C81+C128+C152+C180+C229+C254+C278+C302+C326+C350</f>
        <v>213000</v>
      </c>
      <c r="D388" s="814">
        <f>D57+D81+D128+D152+D180+D229+D254+D278+D302+D326+D350</f>
        <v>242000</v>
      </c>
      <c r="E388" s="814">
        <f>E57+E81+E128+E152+E180+E229+E254+E278+E302+E326+E350</f>
        <v>270400</v>
      </c>
      <c r="F388" s="814">
        <f>F57+F81+F128+F152+F180+F229+F254+F278+F302+F326+F350</f>
        <v>296800</v>
      </c>
    </row>
    <row r="389" spans="2:6" ht="12.6" customHeight="1" thickBot="1" x14ac:dyDescent="0.3">
      <c r="B389" s="1106" t="s">
        <v>29</v>
      </c>
      <c r="C389" s="805"/>
      <c r="D389" s="804">
        <v>0</v>
      </c>
      <c r="E389" s="804">
        <v>0</v>
      </c>
      <c r="F389" s="804">
        <v>0</v>
      </c>
    </row>
    <row r="390" spans="2:6" ht="12.6" customHeight="1" thickBot="1" x14ac:dyDescent="0.3">
      <c r="B390" s="981" t="s">
        <v>30</v>
      </c>
      <c r="C390" s="814">
        <f>C58+C82+C129+C153+C181+C205+C230+C255+C279+C303+C327+C351</f>
        <v>7000</v>
      </c>
      <c r="D390" s="814">
        <f>D58+D82+D129+D153+D181+D205+D230+D255+D279+D303+D327+D351</f>
        <v>86200</v>
      </c>
      <c r="E390" s="814">
        <f>E58+E82+E129+E153+E181+E205+E230+E255+E279+E303+E327+E351</f>
        <v>98900</v>
      </c>
      <c r="F390" s="814">
        <f>F58+F82+F129+F153+F181+F205+F230+F255+F279+F303+F327+F351</f>
        <v>99400</v>
      </c>
    </row>
    <row r="391" spans="2:6" ht="12.6" customHeight="1" thickBot="1" x14ac:dyDescent="0.3">
      <c r="B391" s="1106" t="s">
        <v>31</v>
      </c>
      <c r="C391" s="805"/>
      <c r="D391" s="804">
        <v>0</v>
      </c>
      <c r="E391" s="804">
        <v>0</v>
      </c>
      <c r="F391" s="804">
        <v>0</v>
      </c>
    </row>
    <row r="392" spans="2:6" ht="12.6" customHeight="1" thickBot="1" x14ac:dyDescent="0.3">
      <c r="B392" s="981" t="s">
        <v>3</v>
      </c>
      <c r="C392" s="818">
        <v>0</v>
      </c>
      <c r="D392" s="818">
        <v>0</v>
      </c>
      <c r="E392" s="818">
        <v>0</v>
      </c>
      <c r="F392" s="818">
        <v>0</v>
      </c>
    </row>
    <row r="393" spans="2:6" ht="12.6" customHeight="1" thickBot="1" x14ac:dyDescent="0.3">
      <c r="B393" s="1106" t="s">
        <v>32</v>
      </c>
      <c r="C393" s="805"/>
      <c r="D393" s="804">
        <v>0</v>
      </c>
      <c r="E393" s="804">
        <v>0</v>
      </c>
      <c r="F393" s="804">
        <v>0</v>
      </c>
    </row>
    <row r="394" spans="2:6" ht="12.6" customHeight="1" thickBot="1" x14ac:dyDescent="0.3">
      <c r="B394" s="981" t="s">
        <v>18</v>
      </c>
      <c r="C394" s="814">
        <f>C105+C372</f>
        <v>0</v>
      </c>
      <c r="D394" s="814">
        <f>D105+D372</f>
        <v>0</v>
      </c>
      <c r="E394" s="814">
        <f>E105+E372</f>
        <v>0</v>
      </c>
      <c r="F394" s="814">
        <f>F105+F372</f>
        <v>0</v>
      </c>
    </row>
    <row r="395" spans="2:6" ht="12.6" customHeight="1" thickBot="1" x14ac:dyDescent="0.3">
      <c r="B395" s="1106" t="s">
        <v>33</v>
      </c>
      <c r="C395" s="814"/>
      <c r="D395" s="804">
        <v>0</v>
      </c>
      <c r="E395" s="804">
        <v>0</v>
      </c>
      <c r="F395" s="804">
        <v>0</v>
      </c>
    </row>
    <row r="396" spans="2:6" ht="12.6" customHeight="1" thickBot="1" x14ac:dyDescent="0.3">
      <c r="B396" s="1063" t="s">
        <v>19</v>
      </c>
      <c r="C396" s="814">
        <f>C106+C373</f>
        <v>309816</v>
      </c>
      <c r="D396" s="814">
        <f>D106+D373</f>
        <v>450000</v>
      </c>
      <c r="E396" s="814">
        <f>E106+E373</f>
        <v>450000</v>
      </c>
      <c r="F396" s="814">
        <f>F106+F373</f>
        <v>450000</v>
      </c>
    </row>
    <row r="397" spans="2:6" ht="12.6" customHeight="1" thickBot="1" x14ac:dyDescent="0.3">
      <c r="B397" s="1106" t="s">
        <v>34</v>
      </c>
      <c r="C397" s="805"/>
      <c r="D397" s="804">
        <f>D396/C396-1</f>
        <v>0.45247501742970031</v>
      </c>
      <c r="E397" s="804">
        <f>E396/D396-1</f>
        <v>0</v>
      </c>
      <c r="F397" s="804">
        <f>F396/E396-1</f>
        <v>0</v>
      </c>
    </row>
    <row r="398" spans="2:6" ht="12.6" customHeight="1" thickBot="1" x14ac:dyDescent="0.3">
      <c r="B398" s="1115" t="s">
        <v>549</v>
      </c>
      <c r="C398" s="801">
        <f>C380+C382+C384+C386+C388+C390+C392+C394+C396</f>
        <v>635816</v>
      </c>
      <c r="D398" s="801">
        <f>D380+D382+D384+D386+D388+D390+D392+D394+D396</f>
        <v>863500</v>
      </c>
      <c r="E398" s="801">
        <f>E380+E382+E384+E386+E388+E390+E392+E394+E396</f>
        <v>911200</v>
      </c>
      <c r="F398" s="801">
        <f>F380+F382+F384+F386+F388+F390+F392+F394+F396</f>
        <v>942700</v>
      </c>
    </row>
    <row r="399" spans="2:6" ht="12.6" customHeight="1" thickBot="1" x14ac:dyDescent="0.3">
      <c r="B399" s="1071" t="s">
        <v>70</v>
      </c>
      <c r="C399" s="801">
        <f>C398-C377</f>
        <v>14000</v>
      </c>
      <c r="D399" s="801">
        <f>D398-D377</f>
        <v>56000</v>
      </c>
      <c r="E399" s="801">
        <f>E398-E377</f>
        <v>56000</v>
      </c>
      <c r="F399" s="801">
        <f>F398-F377</f>
        <v>56000</v>
      </c>
    </row>
    <row r="400" spans="2:6" ht="12.6" customHeight="1" thickBot="1" x14ac:dyDescent="0.3">
      <c r="B400" s="1116" t="s">
        <v>55</v>
      </c>
      <c r="C400" s="818">
        <f>C155</f>
        <v>15000</v>
      </c>
      <c r="D400" s="818">
        <f>D155</f>
        <v>20000</v>
      </c>
      <c r="E400" s="818">
        <f>E155</f>
        <v>25000</v>
      </c>
      <c r="F400" s="818">
        <f>F155</f>
        <v>30000</v>
      </c>
    </row>
    <row r="401" spans="2:6" ht="12.6" customHeight="1" thickBot="1" x14ac:dyDescent="0.3">
      <c r="B401" s="1116" t="s">
        <v>64</v>
      </c>
      <c r="C401" s="818" t="s">
        <v>21</v>
      </c>
      <c r="D401" s="818" t="s">
        <v>21</v>
      </c>
      <c r="E401" s="818" t="s">
        <v>21</v>
      </c>
      <c r="F401" s="818" t="s">
        <v>21</v>
      </c>
    </row>
    <row r="402" spans="2:6" ht="12.6" customHeight="1" x14ac:dyDescent="0.25">
      <c r="B402" s="1117"/>
      <c r="C402" s="800"/>
      <c r="D402" s="800"/>
      <c r="E402" s="800"/>
      <c r="F402" s="800"/>
    </row>
    <row r="403" spans="2:6" ht="12.6" customHeight="1" thickBot="1" x14ac:dyDescent="0.3">
      <c r="B403" s="1117"/>
      <c r="C403" s="800"/>
      <c r="D403" s="800"/>
      <c r="E403" s="800"/>
      <c r="F403" s="800"/>
    </row>
    <row r="404" spans="2:6" ht="12.6" customHeight="1" x14ac:dyDescent="0.25">
      <c r="B404" s="1118"/>
      <c r="C404" s="3044" t="s">
        <v>83</v>
      </c>
      <c r="D404" s="1119" t="s">
        <v>80</v>
      </c>
      <c r="E404" s="1120"/>
      <c r="F404" s="3044" t="s">
        <v>118</v>
      </c>
    </row>
    <row r="405" spans="2:6" ht="12.6" customHeight="1" x14ac:dyDescent="0.25">
      <c r="B405" s="1121"/>
      <c r="C405" s="3045"/>
      <c r="D405" s="1122" t="s">
        <v>81</v>
      </c>
      <c r="E405" s="1123"/>
      <c r="F405" s="3045"/>
    </row>
    <row r="406" spans="2:6" ht="12.6" customHeight="1" thickBot="1" x14ac:dyDescent="0.3">
      <c r="B406" s="1124"/>
      <c r="C406" s="3046"/>
      <c r="D406" s="1125" t="s">
        <v>82</v>
      </c>
      <c r="E406" s="1126"/>
      <c r="F406" s="3046"/>
    </row>
    <row r="407" spans="2:6" ht="12.6" customHeight="1" thickBot="1" x14ac:dyDescent="0.3">
      <c r="B407" s="1127"/>
      <c r="C407" s="1128"/>
      <c r="D407" s="778"/>
      <c r="E407" s="1129"/>
      <c r="F407" s="1129"/>
    </row>
    <row r="408" spans="2:6" ht="12.6" customHeight="1" thickBot="1" x14ac:dyDescent="0.3">
      <c r="B408" s="1130" t="s">
        <v>86</v>
      </c>
      <c r="C408" s="1128"/>
      <c r="D408" s="778"/>
      <c r="E408" s="1129"/>
      <c r="F408" s="1129"/>
    </row>
    <row r="409" spans="2:6" ht="12.6" customHeight="1" x14ac:dyDescent="0.25">
      <c r="B409" s="2573" t="s">
        <v>123</v>
      </c>
      <c r="C409" s="2574"/>
      <c r="D409" s="2574"/>
      <c r="E409" s="2574"/>
      <c r="F409" s="2575"/>
    </row>
    <row r="410" spans="2:6" ht="12.6" customHeight="1" x14ac:dyDescent="0.25">
      <c r="B410" s="2576" t="s">
        <v>124</v>
      </c>
      <c r="C410" s="2577"/>
      <c r="D410" s="2577"/>
      <c r="E410" s="2577"/>
      <c r="F410" s="2578"/>
    </row>
    <row r="411" spans="2:6" ht="12.6" customHeight="1" x14ac:dyDescent="0.25">
      <c r="B411" s="3043" t="s">
        <v>125</v>
      </c>
      <c r="C411" s="2583"/>
      <c r="D411" s="2583"/>
      <c r="E411" s="2583"/>
      <c r="F411" s="2584"/>
    </row>
    <row r="412" spans="2:6" ht="12.6" customHeight="1" x14ac:dyDescent="0.25">
      <c r="B412" s="3043" t="s">
        <v>126</v>
      </c>
      <c r="C412" s="2583"/>
      <c r="D412" s="2583"/>
      <c r="E412" s="2583"/>
      <c r="F412" s="2584"/>
    </row>
    <row r="413" spans="2:6" ht="12.6" customHeight="1" x14ac:dyDescent="0.25">
      <c r="B413" s="3043" t="s">
        <v>115</v>
      </c>
      <c r="C413" s="2583"/>
      <c r="D413" s="2583"/>
      <c r="E413" s="2583"/>
      <c r="F413" s="2584"/>
    </row>
    <row r="414" spans="2:6" ht="12.6" customHeight="1" x14ac:dyDescent="0.25">
      <c r="B414" s="2582" t="s">
        <v>704</v>
      </c>
      <c r="C414" s="2583"/>
      <c r="D414" s="2583"/>
      <c r="E414" s="2583"/>
      <c r="F414" s="2584"/>
    </row>
    <row r="415" spans="2:6" ht="12.6" customHeight="1" thickBot="1" x14ac:dyDescent="0.3">
      <c r="B415" s="2567" t="s">
        <v>79</v>
      </c>
      <c r="C415" s="2568"/>
      <c r="D415" s="2568"/>
      <c r="E415" s="2568"/>
      <c r="F415" s="2569"/>
    </row>
    <row r="424" spans="2:2" ht="12.6" customHeight="1" x14ac:dyDescent="0.25">
      <c r="B424" s="1131"/>
    </row>
    <row r="425" spans="2:2" ht="12.6" customHeight="1" x14ac:dyDescent="0.25">
      <c r="B425" s="1131"/>
    </row>
    <row r="426" spans="2:2" ht="12.6" customHeight="1" x14ac:dyDescent="0.25">
      <c r="B426" s="1131"/>
    </row>
    <row r="427" spans="2:2" ht="12.6" customHeight="1" x14ac:dyDescent="0.25">
      <c r="B427" s="1131"/>
    </row>
    <row r="428" spans="2:2" ht="12.6" customHeight="1" x14ac:dyDescent="0.25">
      <c r="B428" s="1131"/>
    </row>
    <row r="429" spans="2:2" ht="12.6" customHeight="1" x14ac:dyDescent="0.25">
      <c r="B429" s="1131"/>
    </row>
  </sheetData>
  <mergeCells count="134">
    <mergeCell ref="I376:K376"/>
    <mergeCell ref="B173:F173"/>
    <mergeCell ref="B174:B175"/>
    <mergeCell ref="B331:F331"/>
    <mergeCell ref="C90:F90"/>
    <mergeCell ref="C213:F213"/>
    <mergeCell ref="B211:B212"/>
    <mergeCell ref="C111:F111"/>
    <mergeCell ref="C112:F112"/>
    <mergeCell ref="C93:F93"/>
    <mergeCell ref="B102:F102"/>
    <mergeCell ref="C161:F161"/>
    <mergeCell ref="C162:F163"/>
    <mergeCell ref="C237:F237"/>
    <mergeCell ref="C238:F238"/>
    <mergeCell ref="C284:F284"/>
    <mergeCell ref="B287:B288"/>
    <mergeCell ref="B295:F295"/>
    <mergeCell ref="C308:F308"/>
    <mergeCell ref="C309:F309"/>
    <mergeCell ref="C310:F310"/>
    <mergeCell ref="C286:F286"/>
    <mergeCell ref="B307:F307"/>
    <mergeCell ref="B296:B297"/>
    <mergeCell ref="H374:K374"/>
    <mergeCell ref="B223:B224"/>
    <mergeCell ref="B157:F157"/>
    <mergeCell ref="B158:F158"/>
    <mergeCell ref="C136:F136"/>
    <mergeCell ref="B137:B138"/>
    <mergeCell ref="B109:F109"/>
    <mergeCell ref="B133:F133"/>
    <mergeCell ref="B209:F209"/>
    <mergeCell ref="B185:F185"/>
    <mergeCell ref="B234:F234"/>
    <mergeCell ref="B235:F235"/>
    <mergeCell ref="C164:F164"/>
    <mergeCell ref="B162:B163"/>
    <mergeCell ref="C236:F236"/>
    <mergeCell ref="B197:F197"/>
    <mergeCell ref="B198:B199"/>
    <mergeCell ref="C210:F210"/>
    <mergeCell ref="B222:F222"/>
    <mergeCell ref="B165:B166"/>
    <mergeCell ref="C135:F135"/>
    <mergeCell ref="B145:F145"/>
    <mergeCell ref="C134:F134"/>
    <mergeCell ref="B370:B371"/>
    <mergeCell ref="B21:B22"/>
    <mergeCell ref="C32:F32"/>
    <mergeCell ref="B33:F33"/>
    <mergeCell ref="B37:F37"/>
    <mergeCell ref="B51:B52"/>
    <mergeCell ref="B91:B92"/>
    <mergeCell ref="C63:F63"/>
    <mergeCell ref="C64:F64"/>
    <mergeCell ref="C65:F65"/>
    <mergeCell ref="B38:F38"/>
    <mergeCell ref="C39:F39"/>
    <mergeCell ref="C40:F40"/>
    <mergeCell ref="C41:F41"/>
    <mergeCell ref="B42:B43"/>
    <mergeCell ref="B50:F50"/>
    <mergeCell ref="B62:F62"/>
    <mergeCell ref="B66:B67"/>
    <mergeCell ref="B74:F74"/>
    <mergeCell ref="B75:B76"/>
    <mergeCell ref="B87:F87"/>
    <mergeCell ref="B86:F86"/>
    <mergeCell ref="B88:F88"/>
    <mergeCell ref="C89:F89"/>
    <mergeCell ref="C91:F92"/>
    <mergeCell ref="C5:F5"/>
    <mergeCell ref="B1:F1"/>
    <mergeCell ref="C6:F6"/>
    <mergeCell ref="C7:F7"/>
    <mergeCell ref="B8:F8"/>
    <mergeCell ref="B9:F13"/>
    <mergeCell ref="B14:F14"/>
    <mergeCell ref="B15:F20"/>
    <mergeCell ref="B2:F2"/>
    <mergeCell ref="B3:F3"/>
    <mergeCell ref="B413:F413"/>
    <mergeCell ref="B414:F414"/>
    <mergeCell ref="B239:B240"/>
    <mergeCell ref="B247:F247"/>
    <mergeCell ref="B283:F283"/>
    <mergeCell ref="C285:F285"/>
    <mergeCell ref="B415:F415"/>
    <mergeCell ref="B411:F411"/>
    <mergeCell ref="B410:F410"/>
    <mergeCell ref="B409:F409"/>
    <mergeCell ref="B412:F412"/>
    <mergeCell ref="C404:C406"/>
    <mergeCell ref="F404:F406"/>
    <mergeCell ref="B248:B249"/>
    <mergeCell ref="B259:F259"/>
    <mergeCell ref="C260:F260"/>
    <mergeCell ref="C261:F261"/>
    <mergeCell ref="B311:B312"/>
    <mergeCell ref="B319:F319"/>
    <mergeCell ref="B320:B321"/>
    <mergeCell ref="C262:F262"/>
    <mergeCell ref="B263:B264"/>
    <mergeCell ref="B271:F271"/>
    <mergeCell ref="B272:B273"/>
    <mergeCell ref="B94:B95"/>
    <mergeCell ref="B113:B114"/>
    <mergeCell ref="B146:B147"/>
    <mergeCell ref="B214:B215"/>
    <mergeCell ref="C211:F212"/>
    <mergeCell ref="B103:B104"/>
    <mergeCell ref="C186:F186"/>
    <mergeCell ref="C187:F187"/>
    <mergeCell ref="C188:F188"/>
    <mergeCell ref="B189:B190"/>
    <mergeCell ref="B121:F121"/>
    <mergeCell ref="B122:B123"/>
    <mergeCell ref="B159:B160"/>
    <mergeCell ref="C110:F110"/>
    <mergeCell ref="B369:F369"/>
    <mergeCell ref="B343:F343"/>
    <mergeCell ref="B344:B345"/>
    <mergeCell ref="B357:F357"/>
    <mergeCell ref="B356:F356"/>
    <mergeCell ref="C332:F332"/>
    <mergeCell ref="C333:F333"/>
    <mergeCell ref="C334:F334"/>
    <mergeCell ref="B335:B336"/>
    <mergeCell ref="B355:F355"/>
    <mergeCell ref="C358:F358"/>
    <mergeCell ref="C359:F359"/>
    <mergeCell ref="C360:F360"/>
    <mergeCell ref="B361:B362"/>
  </mergeCells>
  <printOptions horizontalCentered="1" verticalCentered="1"/>
  <pageMargins left="0.15748031496062992" right="0.15748031496062992" top="0.47244094488188981" bottom="0.43307086614173229" header="0.31496062992125984" footer="0.31496062992125984"/>
  <pageSetup scale="69" orientation="portrait" r:id="rId1"/>
  <rowBreaks count="4" manualBreakCount="4">
    <brk id="62" max="5" man="1"/>
    <brk id="132" max="5" man="1"/>
    <brk id="233" max="5" man="1"/>
    <brk id="306" max="5" man="1"/>
  </rowBreaks>
  <colBreaks count="1" manualBreakCount="1">
    <brk id="6"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63"/>
  <sheetViews>
    <sheetView showGridLines="0" topLeftCell="A52" zoomScaleNormal="100" workbookViewId="0">
      <selection activeCell="G70" sqref="G70"/>
    </sheetView>
  </sheetViews>
  <sheetFormatPr defaultColWidth="9.140625" defaultRowHeight="11.25" customHeight="1" x14ac:dyDescent="0.25"/>
  <cols>
    <col min="1" max="1" width="7.28515625" style="1029" customWidth="1"/>
    <col min="2" max="2" width="6.28515625" style="1029" customWidth="1"/>
    <col min="3" max="3" width="11.85546875" style="1030" customWidth="1"/>
    <col min="4" max="11" width="10.5703125" style="1030" customWidth="1"/>
    <col min="12" max="12" width="13.7109375" style="1030" customWidth="1"/>
    <col min="13" max="256" width="11.42578125" style="1029" customWidth="1"/>
    <col min="257" max="16384" width="9.140625" style="1029"/>
  </cols>
  <sheetData>
    <row r="1" spans="1:12" ht="11.25" customHeight="1" x14ac:dyDescent="0.25">
      <c r="A1" s="1050"/>
      <c r="C1" s="1049" t="s">
        <v>584</v>
      </c>
      <c r="H1" s="1049"/>
    </row>
    <row r="3" spans="1:12" ht="16.149999999999999" customHeight="1" x14ac:dyDescent="0.25">
      <c r="C3" s="1040" t="s">
        <v>583</v>
      </c>
      <c r="D3" s="1048">
        <v>2019</v>
      </c>
    </row>
    <row r="5" spans="1:12" ht="11.25" customHeight="1" x14ac:dyDescent="0.25">
      <c r="A5" s="1043" t="s">
        <v>87</v>
      </c>
      <c r="B5" s="1042" t="s">
        <v>180</v>
      </c>
      <c r="C5" s="1040" t="s">
        <v>88</v>
      </c>
      <c r="D5" s="1047" t="s">
        <v>873</v>
      </c>
      <c r="E5" s="1046"/>
      <c r="F5" s="1046"/>
      <c r="G5" s="1046"/>
      <c r="H5" s="1046"/>
      <c r="I5" s="1046"/>
      <c r="J5" s="1046"/>
      <c r="K5" s="1046"/>
      <c r="L5" s="1045"/>
    </row>
    <row r="6" spans="1:12" ht="11.25" customHeight="1" x14ac:dyDescent="0.25">
      <c r="B6" s="1044"/>
    </row>
    <row r="7" spans="1:12" ht="11.25" customHeight="1" x14ac:dyDescent="0.25">
      <c r="A7" s="1043" t="s">
        <v>4</v>
      </c>
      <c r="B7" s="1042" t="s">
        <v>143</v>
      </c>
      <c r="C7" s="1040" t="s">
        <v>96</v>
      </c>
      <c r="D7" s="1040"/>
      <c r="E7" s="3050" t="s">
        <v>872</v>
      </c>
      <c r="F7" s="3051"/>
      <c r="G7" s="3051"/>
      <c r="H7" s="3051"/>
      <c r="I7" s="3051"/>
      <c r="J7" s="3051"/>
      <c r="K7" s="3051"/>
      <c r="L7" s="3052"/>
    </row>
    <row r="9" spans="1:12" ht="11.25" customHeight="1" x14ac:dyDescent="0.25">
      <c r="C9" s="1040" t="s">
        <v>493</v>
      </c>
      <c r="D9" s="1040"/>
    </row>
    <row r="10" spans="1:12" ht="11.25" customHeight="1" x14ac:dyDescent="0.25">
      <c r="C10" s="3053" t="s">
        <v>871</v>
      </c>
      <c r="D10" s="3054"/>
      <c r="E10" s="3054"/>
      <c r="F10" s="3054"/>
      <c r="G10" s="3054"/>
      <c r="H10" s="3054"/>
      <c r="I10" s="3054"/>
      <c r="J10" s="3054"/>
      <c r="K10" s="3054"/>
      <c r="L10" s="3055"/>
    </row>
    <row r="11" spans="1:12" ht="11.25" customHeight="1" x14ac:dyDescent="0.25">
      <c r="C11" s="3056"/>
      <c r="D11" s="3057"/>
      <c r="E11" s="3057"/>
      <c r="F11" s="3057"/>
      <c r="G11" s="3057"/>
      <c r="H11" s="3057"/>
      <c r="I11" s="3057"/>
      <c r="J11" s="3057"/>
      <c r="K11" s="3057"/>
      <c r="L11" s="3058"/>
    </row>
    <row r="12" spans="1:12" ht="11.25" customHeight="1" x14ac:dyDescent="0.25">
      <c r="C12" s="3056"/>
      <c r="D12" s="3057"/>
      <c r="E12" s="3057"/>
      <c r="F12" s="3057"/>
      <c r="G12" s="3057"/>
      <c r="H12" s="3057"/>
      <c r="I12" s="3057"/>
      <c r="J12" s="3057"/>
      <c r="K12" s="3057"/>
      <c r="L12" s="3058"/>
    </row>
    <row r="13" spans="1:12" ht="11.25" customHeight="1" x14ac:dyDescent="0.25">
      <c r="C13" s="3056"/>
      <c r="D13" s="3057"/>
      <c r="E13" s="3057"/>
      <c r="F13" s="3057"/>
      <c r="G13" s="3057"/>
      <c r="H13" s="3057"/>
      <c r="I13" s="3057"/>
      <c r="J13" s="3057"/>
      <c r="K13" s="3057"/>
      <c r="L13" s="3058"/>
    </row>
    <row r="14" spans="1:12" ht="49.15" customHeight="1" x14ac:dyDescent="0.25">
      <c r="C14" s="3056"/>
      <c r="D14" s="3057"/>
      <c r="E14" s="3057"/>
      <c r="F14" s="3057"/>
      <c r="G14" s="3057"/>
      <c r="H14" s="3057"/>
      <c r="I14" s="3057"/>
      <c r="J14" s="3057"/>
      <c r="K14" s="3057"/>
      <c r="L14" s="3058"/>
    </row>
    <row r="15" spans="1:12" ht="19.149999999999999" customHeight="1" x14ac:dyDescent="0.25">
      <c r="C15" s="3059"/>
      <c r="D15" s="3060"/>
      <c r="E15" s="3060"/>
      <c r="F15" s="3060"/>
      <c r="G15" s="3060"/>
      <c r="H15" s="3060"/>
      <c r="I15" s="3060"/>
      <c r="J15" s="3060"/>
      <c r="K15" s="3060"/>
      <c r="L15" s="3061"/>
    </row>
    <row r="16" spans="1:12" ht="11.25" customHeight="1" x14ac:dyDescent="0.25">
      <c r="C16" s="1041"/>
      <c r="D16" s="1041"/>
      <c r="E16" s="1041"/>
      <c r="F16" s="1041"/>
      <c r="G16" s="1041"/>
      <c r="H16" s="1041"/>
      <c r="I16" s="1041"/>
      <c r="J16" s="1041"/>
      <c r="K16" s="1041"/>
      <c r="L16" s="1041"/>
    </row>
    <row r="17" spans="3:12" ht="16.5" customHeight="1" x14ac:dyDescent="0.25">
      <c r="C17" s="1040" t="s">
        <v>137</v>
      </c>
      <c r="D17" s="1040"/>
    </row>
    <row r="18" spans="3:12" ht="11.25" customHeight="1" x14ac:dyDescent="0.25">
      <c r="C18" s="3053" t="s">
        <v>870</v>
      </c>
      <c r="D18" s="3054"/>
      <c r="E18" s="3054"/>
      <c r="F18" s="3054"/>
      <c r="G18" s="3054"/>
      <c r="H18" s="3054"/>
      <c r="I18" s="3054"/>
      <c r="J18" s="3054"/>
      <c r="K18" s="3054"/>
      <c r="L18" s="3055"/>
    </row>
    <row r="19" spans="3:12" ht="11.25" customHeight="1" x14ac:dyDescent="0.25">
      <c r="C19" s="3056"/>
      <c r="D19" s="3057"/>
      <c r="E19" s="3057"/>
      <c r="F19" s="3057"/>
      <c r="G19" s="3057"/>
      <c r="H19" s="3057"/>
      <c r="I19" s="3057"/>
      <c r="J19" s="3057"/>
      <c r="K19" s="3057"/>
      <c r="L19" s="3058"/>
    </row>
    <row r="20" spans="3:12" ht="11.25" customHeight="1" x14ac:dyDescent="0.25">
      <c r="C20" s="3056"/>
      <c r="D20" s="3057"/>
      <c r="E20" s="3057"/>
      <c r="F20" s="3057"/>
      <c r="G20" s="3057"/>
      <c r="H20" s="3057"/>
      <c r="I20" s="3057"/>
      <c r="J20" s="3057"/>
      <c r="K20" s="3057"/>
      <c r="L20" s="3058"/>
    </row>
    <row r="21" spans="3:12" ht="11.25" customHeight="1" x14ac:dyDescent="0.25">
      <c r="C21" s="3056"/>
      <c r="D21" s="3057"/>
      <c r="E21" s="3057"/>
      <c r="F21" s="3057"/>
      <c r="G21" s="3057"/>
      <c r="H21" s="3057"/>
      <c r="I21" s="3057"/>
      <c r="J21" s="3057"/>
      <c r="K21" s="3057"/>
      <c r="L21" s="3058"/>
    </row>
    <row r="22" spans="3:12" ht="11.25" customHeight="1" x14ac:dyDescent="0.25">
      <c r="C22" s="3056"/>
      <c r="D22" s="3057"/>
      <c r="E22" s="3057"/>
      <c r="F22" s="3057"/>
      <c r="G22" s="3057"/>
      <c r="H22" s="3057"/>
      <c r="I22" s="3057"/>
      <c r="J22" s="3057"/>
      <c r="K22" s="3057"/>
      <c r="L22" s="3058"/>
    </row>
    <row r="23" spans="3:12" ht="49.15" customHeight="1" x14ac:dyDescent="0.25">
      <c r="C23" s="3059"/>
      <c r="D23" s="3060"/>
      <c r="E23" s="3060"/>
      <c r="F23" s="3060"/>
      <c r="G23" s="3060"/>
      <c r="H23" s="3060"/>
      <c r="I23" s="3060"/>
      <c r="J23" s="3060"/>
      <c r="K23" s="3060"/>
      <c r="L23" s="3061"/>
    </row>
    <row r="25" spans="3:12" ht="13.9" customHeight="1" x14ac:dyDescent="0.25">
      <c r="C25" s="1040" t="s">
        <v>581</v>
      </c>
      <c r="D25" s="1040"/>
      <c r="E25" s="1040"/>
    </row>
    <row r="26" spans="3:12" ht="13.15" customHeight="1" x14ac:dyDescent="0.25">
      <c r="C26" s="1040" t="s">
        <v>580</v>
      </c>
    </row>
    <row r="27" spans="3:12" ht="11.25" customHeight="1" x14ac:dyDescent="0.25">
      <c r="C27" s="3062" t="s">
        <v>869</v>
      </c>
      <c r="D27" s="3063"/>
      <c r="E27" s="3063"/>
      <c r="F27" s="3063"/>
      <c r="G27" s="3063"/>
      <c r="H27" s="3063"/>
      <c r="I27" s="3063"/>
      <c r="J27" s="3063"/>
      <c r="K27" s="3063"/>
      <c r="L27" s="3064"/>
    </row>
    <row r="28" spans="3:12" ht="11.25" customHeight="1" x14ac:dyDescent="0.25">
      <c r="C28" s="3065"/>
      <c r="D28" s="2644"/>
      <c r="E28" s="2644"/>
      <c r="F28" s="2644"/>
      <c r="G28" s="2644"/>
      <c r="H28" s="2644"/>
      <c r="I28" s="2644"/>
      <c r="J28" s="2644"/>
      <c r="K28" s="2644"/>
      <c r="L28" s="3066"/>
    </row>
    <row r="29" spans="3:12" ht="11.25" customHeight="1" x14ac:dyDescent="0.25">
      <c r="C29" s="3065"/>
      <c r="D29" s="2644"/>
      <c r="E29" s="2644"/>
      <c r="F29" s="2644"/>
      <c r="G29" s="2644"/>
      <c r="H29" s="2644"/>
      <c r="I29" s="2644"/>
      <c r="J29" s="2644"/>
      <c r="K29" s="2644"/>
      <c r="L29" s="3066"/>
    </row>
    <row r="30" spans="3:12" ht="11.25" customHeight="1" x14ac:dyDescent="0.25">
      <c r="C30" s="3065"/>
      <c r="D30" s="2644"/>
      <c r="E30" s="2644"/>
      <c r="F30" s="2644"/>
      <c r="G30" s="2644"/>
      <c r="H30" s="2644"/>
      <c r="I30" s="2644"/>
      <c r="J30" s="2644"/>
      <c r="K30" s="2644"/>
      <c r="L30" s="3066"/>
    </row>
    <row r="31" spans="3:12" ht="11.25" customHeight="1" x14ac:dyDescent="0.25">
      <c r="C31" s="3065"/>
      <c r="D31" s="2644"/>
      <c r="E31" s="2644"/>
      <c r="F31" s="2644"/>
      <c r="G31" s="2644"/>
      <c r="H31" s="2644"/>
      <c r="I31" s="2644"/>
      <c r="J31" s="2644"/>
      <c r="K31" s="2644"/>
      <c r="L31" s="3066"/>
    </row>
    <row r="32" spans="3:12" ht="122.45" customHeight="1" x14ac:dyDescent="0.25">
      <c r="C32" s="3067"/>
      <c r="D32" s="3068"/>
      <c r="E32" s="3068"/>
      <c r="F32" s="3068"/>
      <c r="G32" s="3068"/>
      <c r="H32" s="3068"/>
      <c r="I32" s="3068"/>
      <c r="J32" s="3068"/>
      <c r="K32" s="3068"/>
      <c r="L32" s="3069"/>
    </row>
    <row r="33" spans="3:12" ht="14.45" customHeight="1" x14ac:dyDescent="0.25">
      <c r="C33" s="1040" t="s">
        <v>578</v>
      </c>
    </row>
    <row r="34" spans="3:12" ht="11.25" customHeight="1" x14ac:dyDescent="0.25">
      <c r="C34" s="3062" t="s">
        <v>868</v>
      </c>
      <c r="D34" s="3063"/>
      <c r="E34" s="3063"/>
      <c r="F34" s="3063"/>
      <c r="G34" s="3063"/>
      <c r="H34" s="3063"/>
      <c r="I34" s="3063"/>
      <c r="J34" s="3063"/>
      <c r="K34" s="3063"/>
      <c r="L34" s="3064"/>
    </row>
    <row r="35" spans="3:12" ht="11.25" customHeight="1" x14ac:dyDescent="0.25">
      <c r="C35" s="3065"/>
      <c r="D35" s="2644"/>
      <c r="E35" s="2644"/>
      <c r="F35" s="2644"/>
      <c r="G35" s="2644"/>
      <c r="H35" s="2644"/>
      <c r="I35" s="2644"/>
      <c r="J35" s="2644"/>
      <c r="K35" s="2644"/>
      <c r="L35" s="3066"/>
    </row>
    <row r="36" spans="3:12" ht="11.25" customHeight="1" x14ac:dyDescent="0.25">
      <c r="C36" s="3065"/>
      <c r="D36" s="2644"/>
      <c r="E36" s="2644"/>
      <c r="F36" s="2644"/>
      <c r="G36" s="2644"/>
      <c r="H36" s="2644"/>
      <c r="I36" s="2644"/>
      <c r="J36" s="2644"/>
      <c r="K36" s="2644"/>
      <c r="L36" s="3066"/>
    </row>
    <row r="37" spans="3:12" ht="121.15" customHeight="1" x14ac:dyDescent="0.25">
      <c r="C37" s="3067"/>
      <c r="D37" s="3068"/>
      <c r="E37" s="3068"/>
      <c r="F37" s="3068"/>
      <c r="G37" s="3068"/>
      <c r="H37" s="3068"/>
      <c r="I37" s="3068"/>
      <c r="J37" s="3068"/>
      <c r="K37" s="3068"/>
      <c r="L37" s="3069"/>
    </row>
    <row r="38" spans="3:12" ht="18.75" customHeight="1" x14ac:dyDescent="0.25">
      <c r="C38" s="1040" t="s">
        <v>867</v>
      </c>
    </row>
    <row r="39" spans="3:12" ht="11.25" customHeight="1" x14ac:dyDescent="0.25">
      <c r="C39" s="3062" t="s">
        <v>866</v>
      </c>
      <c r="D39" s="3063"/>
      <c r="E39" s="3063"/>
      <c r="F39" s="3063"/>
      <c r="G39" s="3063"/>
      <c r="H39" s="3063"/>
      <c r="I39" s="3063"/>
      <c r="J39" s="3063"/>
      <c r="K39" s="3063"/>
      <c r="L39" s="3064"/>
    </row>
    <row r="40" spans="3:12" ht="11.25" customHeight="1" x14ac:dyDescent="0.25">
      <c r="C40" s="3065"/>
      <c r="D40" s="2644"/>
      <c r="E40" s="2644"/>
      <c r="F40" s="2644"/>
      <c r="G40" s="2644"/>
      <c r="H40" s="2644"/>
      <c r="I40" s="2644"/>
      <c r="J40" s="2644"/>
      <c r="K40" s="2644"/>
      <c r="L40" s="3066"/>
    </row>
    <row r="41" spans="3:12" ht="11.25" customHeight="1" x14ac:dyDescent="0.25">
      <c r="C41" s="3065"/>
      <c r="D41" s="2644"/>
      <c r="E41" s="2644"/>
      <c r="F41" s="2644"/>
      <c r="G41" s="2644"/>
      <c r="H41" s="2644"/>
      <c r="I41" s="2644"/>
      <c r="J41" s="2644"/>
      <c r="K41" s="2644"/>
      <c r="L41" s="3066"/>
    </row>
    <row r="42" spans="3:12" ht="11.25" customHeight="1" x14ac:dyDescent="0.25">
      <c r="C42" s="3065"/>
      <c r="D42" s="2644"/>
      <c r="E42" s="2644"/>
      <c r="F42" s="2644"/>
      <c r="G42" s="2644"/>
      <c r="H42" s="2644"/>
      <c r="I42" s="2644"/>
      <c r="J42" s="2644"/>
      <c r="K42" s="2644"/>
      <c r="L42" s="3066"/>
    </row>
    <row r="43" spans="3:12" ht="11.25" customHeight="1" x14ac:dyDescent="0.25">
      <c r="C43" s="3065"/>
      <c r="D43" s="2644"/>
      <c r="E43" s="2644"/>
      <c r="F43" s="2644"/>
      <c r="G43" s="2644"/>
      <c r="H43" s="2644"/>
      <c r="I43" s="2644"/>
      <c r="J43" s="2644"/>
      <c r="K43" s="2644"/>
      <c r="L43" s="3066"/>
    </row>
    <row r="44" spans="3:12" ht="96" customHeight="1" x14ac:dyDescent="0.25">
      <c r="C44" s="3067"/>
      <c r="D44" s="3068"/>
      <c r="E44" s="3068"/>
      <c r="F44" s="3068"/>
      <c r="G44" s="3068"/>
      <c r="H44" s="3068"/>
      <c r="I44" s="3068"/>
      <c r="J44" s="3068"/>
      <c r="K44" s="3068"/>
      <c r="L44" s="3069"/>
    </row>
    <row r="45" spans="3:12" ht="21" customHeight="1" x14ac:dyDescent="0.25">
      <c r="C45" s="1040" t="s">
        <v>574</v>
      </c>
    </row>
    <row r="46" spans="3:12" ht="11.25" customHeight="1" x14ac:dyDescent="0.25">
      <c r="C46" s="3062" t="s">
        <v>865</v>
      </c>
      <c r="D46" s="3063"/>
      <c r="E46" s="3063"/>
      <c r="F46" s="3063"/>
      <c r="G46" s="3063"/>
      <c r="H46" s="3063"/>
      <c r="I46" s="3063"/>
      <c r="J46" s="3063"/>
      <c r="K46" s="3063"/>
      <c r="L46" s="3064"/>
    </row>
    <row r="47" spans="3:12" ht="11.25" customHeight="1" x14ac:dyDescent="0.25">
      <c r="C47" s="3065"/>
      <c r="D47" s="2644"/>
      <c r="E47" s="2644"/>
      <c r="F47" s="2644"/>
      <c r="G47" s="2644"/>
      <c r="H47" s="2644"/>
      <c r="I47" s="2644"/>
      <c r="J47" s="2644"/>
      <c r="K47" s="2644"/>
      <c r="L47" s="3066"/>
    </row>
    <row r="48" spans="3:12" ht="11.25" customHeight="1" x14ac:dyDescent="0.25">
      <c r="C48" s="3065"/>
      <c r="D48" s="2644"/>
      <c r="E48" s="2644"/>
      <c r="F48" s="2644"/>
      <c r="G48" s="2644"/>
      <c r="H48" s="2644"/>
      <c r="I48" s="2644"/>
      <c r="J48" s="2644"/>
      <c r="K48" s="2644"/>
      <c r="L48" s="3066"/>
    </row>
    <row r="49" spans="1:12" ht="11.25" customHeight="1" x14ac:dyDescent="0.25">
      <c r="C49" s="3065"/>
      <c r="D49" s="2644"/>
      <c r="E49" s="2644"/>
      <c r="F49" s="2644"/>
      <c r="G49" s="2644"/>
      <c r="H49" s="2644"/>
      <c r="I49" s="2644"/>
      <c r="J49" s="2644"/>
      <c r="K49" s="2644"/>
      <c r="L49" s="3066"/>
    </row>
    <row r="50" spans="1:12" ht="11.25" customHeight="1" x14ac:dyDescent="0.25">
      <c r="C50" s="3065"/>
      <c r="D50" s="2644"/>
      <c r="E50" s="2644"/>
      <c r="F50" s="2644"/>
      <c r="G50" s="2644"/>
      <c r="H50" s="2644"/>
      <c r="I50" s="2644"/>
      <c r="J50" s="2644"/>
      <c r="K50" s="2644"/>
      <c r="L50" s="3066"/>
    </row>
    <row r="51" spans="1:12" ht="110.45" customHeight="1" x14ac:dyDescent="0.25">
      <c r="C51" s="3067"/>
      <c r="D51" s="3068"/>
      <c r="E51" s="3068"/>
      <c r="F51" s="3068"/>
      <c r="G51" s="3068"/>
      <c r="H51" s="3068"/>
      <c r="I51" s="3068"/>
      <c r="J51" s="3068"/>
      <c r="K51" s="3068"/>
      <c r="L51" s="3069"/>
    </row>
    <row r="52" spans="1:12" ht="16.149999999999999" customHeight="1" x14ac:dyDescent="0.25">
      <c r="C52" s="1040" t="s">
        <v>572</v>
      </c>
      <c r="D52" s="1040"/>
      <c r="E52" s="1040"/>
    </row>
    <row r="53" spans="1:12" ht="11.25" customHeight="1" x14ac:dyDescent="0.25">
      <c r="C53" s="3062" t="s">
        <v>864</v>
      </c>
      <c r="D53" s="3063"/>
      <c r="E53" s="3063"/>
      <c r="F53" s="3063"/>
      <c r="G53" s="3063"/>
      <c r="H53" s="3063"/>
      <c r="I53" s="3063"/>
      <c r="J53" s="3063"/>
      <c r="K53" s="3063"/>
      <c r="L53" s="3064"/>
    </row>
    <row r="54" spans="1:12" ht="11.25" customHeight="1" x14ac:dyDescent="0.25">
      <c r="C54" s="3065"/>
      <c r="D54" s="2644"/>
      <c r="E54" s="2644"/>
      <c r="F54" s="2644"/>
      <c r="G54" s="2644"/>
      <c r="H54" s="2644"/>
      <c r="I54" s="2644"/>
      <c r="J54" s="2644"/>
      <c r="K54" s="2644"/>
      <c r="L54" s="3066"/>
    </row>
    <row r="55" spans="1:12" ht="11.25" customHeight="1" x14ac:dyDescent="0.25">
      <c r="C55" s="3065"/>
      <c r="D55" s="2644"/>
      <c r="E55" s="2644"/>
      <c r="F55" s="2644"/>
      <c r="G55" s="2644"/>
      <c r="H55" s="2644"/>
      <c r="I55" s="2644"/>
      <c r="J55" s="2644"/>
      <c r="K55" s="2644"/>
      <c r="L55" s="3066"/>
    </row>
    <row r="56" spans="1:12" ht="11.25" customHeight="1" x14ac:dyDescent="0.25">
      <c r="C56" s="3065"/>
      <c r="D56" s="2644"/>
      <c r="E56" s="2644"/>
      <c r="F56" s="2644"/>
      <c r="G56" s="2644"/>
      <c r="H56" s="2644"/>
      <c r="I56" s="2644"/>
      <c r="J56" s="2644"/>
      <c r="K56" s="2644"/>
      <c r="L56" s="3066"/>
    </row>
    <row r="57" spans="1:12" ht="11.25" customHeight="1" x14ac:dyDescent="0.25">
      <c r="C57" s="3065"/>
      <c r="D57" s="2644"/>
      <c r="E57" s="2644"/>
      <c r="F57" s="2644"/>
      <c r="G57" s="2644"/>
      <c r="H57" s="2644"/>
      <c r="I57" s="2644"/>
      <c r="J57" s="2644"/>
      <c r="K57" s="2644"/>
      <c r="L57" s="3066"/>
    </row>
    <row r="58" spans="1:12" ht="81.599999999999994" customHeight="1" x14ac:dyDescent="0.25">
      <c r="C58" s="3067"/>
      <c r="D58" s="3068"/>
      <c r="E58" s="3068"/>
      <c r="F58" s="3068"/>
      <c r="G58" s="3068"/>
      <c r="H58" s="3068"/>
      <c r="I58" s="3068"/>
      <c r="J58" s="3068"/>
      <c r="K58" s="3068"/>
      <c r="L58" s="3069"/>
    </row>
    <row r="59" spans="1:12" ht="16.149999999999999" customHeight="1" x14ac:dyDescent="0.25"/>
    <row r="60" spans="1:12" ht="15" customHeight="1" x14ac:dyDescent="0.25"/>
    <row r="61" spans="1:12" ht="11.25" customHeight="1" x14ac:dyDescent="0.25">
      <c r="A61" s="2100" t="s">
        <v>487</v>
      </c>
      <c r="B61" s="1035" t="s">
        <v>80</v>
      </c>
      <c r="C61" s="1037"/>
      <c r="D61" s="1036"/>
      <c r="E61" s="3070" t="s">
        <v>488</v>
      </c>
      <c r="F61" s="1033" t="s">
        <v>80</v>
      </c>
      <c r="G61" s="1037"/>
      <c r="H61" s="1036"/>
      <c r="I61" s="1039"/>
      <c r="J61" s="1033" t="s">
        <v>80</v>
      </c>
      <c r="K61" s="1037"/>
      <c r="L61" s="1036"/>
    </row>
    <row r="62" spans="1:12" ht="11.25" customHeight="1" x14ac:dyDescent="0.25">
      <c r="A62" s="2101"/>
      <c r="B62" s="1035" t="s">
        <v>490</v>
      </c>
      <c r="C62" s="1037"/>
      <c r="D62" s="1036"/>
      <c r="E62" s="3071"/>
      <c r="F62" s="1033" t="s">
        <v>490</v>
      </c>
      <c r="G62" s="1037"/>
      <c r="H62" s="1036"/>
      <c r="I62" s="1038" t="s">
        <v>489</v>
      </c>
      <c r="J62" s="1033" t="s">
        <v>490</v>
      </c>
      <c r="K62" s="1037"/>
      <c r="L62" s="1036"/>
    </row>
    <row r="63" spans="1:12" ht="32.25" customHeight="1" x14ac:dyDescent="0.25">
      <c r="A63" s="2102"/>
      <c r="B63" s="1035" t="s">
        <v>82</v>
      </c>
      <c r="C63" s="1032"/>
      <c r="D63" s="1031"/>
      <c r="E63" s="3072"/>
      <c r="F63" s="1033" t="s">
        <v>82</v>
      </c>
      <c r="G63" s="1032"/>
      <c r="H63" s="1031"/>
      <c r="I63" s="1034"/>
      <c r="J63" s="1033" t="s">
        <v>82</v>
      </c>
      <c r="K63" s="1032"/>
      <c r="L63" s="1031"/>
    </row>
  </sheetData>
  <mergeCells count="10">
    <mergeCell ref="C46:L51"/>
    <mergeCell ref="C53:L58"/>
    <mergeCell ref="A61:A63"/>
    <mergeCell ref="E61:E63"/>
    <mergeCell ref="C34:L37"/>
    <mergeCell ref="E7:L7"/>
    <mergeCell ref="C10:L15"/>
    <mergeCell ref="C18:L23"/>
    <mergeCell ref="C27:L32"/>
    <mergeCell ref="C39:L44"/>
  </mergeCells>
  <pageMargins left="0.23622047244094491" right="0.23622047244094491" top="0.74803149606299213" bottom="0.74803149606299213" header="0.31496062992125984" footer="0.31496062992125984"/>
  <pageSetup paperSize="9" scale="83" orientation="portrait" horizontalDpi="4294967295" verticalDpi="4294967295" r:id="rId1"/>
  <rowBreaks count="1" manualBreakCount="1">
    <brk id="44"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Q410"/>
  <sheetViews>
    <sheetView topLeftCell="A391" zoomScale="98" zoomScaleNormal="98" zoomScaleSheetLayoutView="140" workbookViewId="0">
      <selection activeCell="B6" sqref="B6:F10"/>
    </sheetView>
  </sheetViews>
  <sheetFormatPr defaultRowHeight="12.6" customHeight="1" x14ac:dyDescent="0.25"/>
  <cols>
    <col min="1" max="1" width="4.5703125" style="1082" customWidth="1"/>
    <col min="2" max="2" width="50.140625" style="1870" customWidth="1"/>
    <col min="3" max="3" width="15" style="1869" customWidth="1"/>
    <col min="4" max="4" width="19.7109375" style="1869" customWidth="1"/>
    <col min="5" max="5" width="24.7109375" style="1869" customWidth="1"/>
    <col min="6" max="6" width="21.85546875" style="1869" customWidth="1"/>
    <col min="7" max="7" width="11.7109375" style="1835" customWidth="1"/>
    <col min="8" max="8" width="12.28515625" style="1835" customWidth="1"/>
    <col min="9" max="10" width="8.85546875" style="1835"/>
    <col min="11" max="17" width="8.85546875" style="1836"/>
    <col min="18" max="256" width="8.85546875" style="1082"/>
    <col min="257" max="257" width="4.5703125" style="1082" customWidth="1"/>
    <col min="258" max="258" width="50.140625" style="1082" customWidth="1"/>
    <col min="259" max="259" width="15" style="1082" customWidth="1"/>
    <col min="260" max="260" width="19.7109375" style="1082" customWidth="1"/>
    <col min="261" max="261" width="24.7109375" style="1082" customWidth="1"/>
    <col min="262" max="262" width="21.85546875" style="1082" customWidth="1"/>
    <col min="263" max="263" width="11.7109375" style="1082" customWidth="1"/>
    <col min="264" max="264" width="12.28515625" style="1082" customWidth="1"/>
    <col min="265" max="512" width="8.85546875" style="1082"/>
    <col min="513" max="513" width="4.5703125" style="1082" customWidth="1"/>
    <col min="514" max="514" width="50.140625" style="1082" customWidth="1"/>
    <col min="515" max="515" width="15" style="1082" customWidth="1"/>
    <col min="516" max="516" width="19.7109375" style="1082" customWidth="1"/>
    <col min="517" max="517" width="24.7109375" style="1082" customWidth="1"/>
    <col min="518" max="518" width="21.85546875" style="1082" customWidth="1"/>
    <col min="519" max="519" width="11.7109375" style="1082" customWidth="1"/>
    <col min="520" max="520" width="12.28515625" style="1082" customWidth="1"/>
    <col min="521" max="768" width="8.85546875" style="1082"/>
    <col min="769" max="769" width="4.5703125" style="1082" customWidth="1"/>
    <col min="770" max="770" width="50.140625" style="1082" customWidth="1"/>
    <col min="771" max="771" width="15" style="1082" customWidth="1"/>
    <col min="772" max="772" width="19.7109375" style="1082" customWidth="1"/>
    <col min="773" max="773" width="24.7109375" style="1082" customWidth="1"/>
    <col min="774" max="774" width="21.85546875" style="1082" customWidth="1"/>
    <col min="775" max="775" width="11.7109375" style="1082" customWidth="1"/>
    <col min="776" max="776" width="12.28515625" style="1082" customWidth="1"/>
    <col min="777" max="1024" width="8.85546875" style="1082"/>
    <col min="1025" max="1025" width="4.5703125" style="1082" customWidth="1"/>
    <col min="1026" max="1026" width="50.140625" style="1082" customWidth="1"/>
    <col min="1027" max="1027" width="15" style="1082" customWidth="1"/>
    <col min="1028" max="1028" width="19.7109375" style="1082" customWidth="1"/>
    <col min="1029" max="1029" width="24.7109375" style="1082" customWidth="1"/>
    <col min="1030" max="1030" width="21.85546875" style="1082" customWidth="1"/>
    <col min="1031" max="1031" width="11.7109375" style="1082" customWidth="1"/>
    <col min="1032" max="1032" width="12.28515625" style="1082" customWidth="1"/>
    <col min="1033" max="1280" width="8.85546875" style="1082"/>
    <col min="1281" max="1281" width="4.5703125" style="1082" customWidth="1"/>
    <col min="1282" max="1282" width="50.140625" style="1082" customWidth="1"/>
    <col min="1283" max="1283" width="15" style="1082" customWidth="1"/>
    <col min="1284" max="1284" width="19.7109375" style="1082" customWidth="1"/>
    <col min="1285" max="1285" width="24.7109375" style="1082" customWidth="1"/>
    <col min="1286" max="1286" width="21.85546875" style="1082" customWidth="1"/>
    <col min="1287" max="1287" width="11.7109375" style="1082" customWidth="1"/>
    <col min="1288" max="1288" width="12.28515625" style="1082" customWidth="1"/>
    <col min="1289" max="1536" width="8.85546875" style="1082"/>
    <col min="1537" max="1537" width="4.5703125" style="1082" customWidth="1"/>
    <col min="1538" max="1538" width="50.140625" style="1082" customWidth="1"/>
    <col min="1539" max="1539" width="15" style="1082" customWidth="1"/>
    <col min="1540" max="1540" width="19.7109375" style="1082" customWidth="1"/>
    <col min="1541" max="1541" width="24.7109375" style="1082" customWidth="1"/>
    <col min="1542" max="1542" width="21.85546875" style="1082" customWidth="1"/>
    <col min="1543" max="1543" width="11.7109375" style="1082" customWidth="1"/>
    <col min="1544" max="1544" width="12.28515625" style="1082" customWidth="1"/>
    <col min="1545" max="1792" width="8.85546875" style="1082"/>
    <col min="1793" max="1793" width="4.5703125" style="1082" customWidth="1"/>
    <col min="1794" max="1794" width="50.140625" style="1082" customWidth="1"/>
    <col min="1795" max="1795" width="15" style="1082" customWidth="1"/>
    <col min="1796" max="1796" width="19.7109375" style="1082" customWidth="1"/>
    <col min="1797" max="1797" width="24.7109375" style="1082" customWidth="1"/>
    <col min="1798" max="1798" width="21.85546875" style="1082" customWidth="1"/>
    <col min="1799" max="1799" width="11.7109375" style="1082" customWidth="1"/>
    <col min="1800" max="1800" width="12.28515625" style="1082" customWidth="1"/>
    <col min="1801" max="2048" width="8.85546875" style="1082"/>
    <col min="2049" max="2049" width="4.5703125" style="1082" customWidth="1"/>
    <col min="2050" max="2050" width="50.140625" style="1082" customWidth="1"/>
    <col min="2051" max="2051" width="15" style="1082" customWidth="1"/>
    <col min="2052" max="2052" width="19.7109375" style="1082" customWidth="1"/>
    <col min="2053" max="2053" width="24.7109375" style="1082" customWidth="1"/>
    <col min="2054" max="2054" width="21.85546875" style="1082" customWidth="1"/>
    <col min="2055" max="2055" width="11.7109375" style="1082" customWidth="1"/>
    <col min="2056" max="2056" width="12.28515625" style="1082" customWidth="1"/>
    <col min="2057" max="2304" width="8.85546875" style="1082"/>
    <col min="2305" max="2305" width="4.5703125" style="1082" customWidth="1"/>
    <col min="2306" max="2306" width="50.140625" style="1082" customWidth="1"/>
    <col min="2307" max="2307" width="15" style="1082" customWidth="1"/>
    <col min="2308" max="2308" width="19.7109375" style="1082" customWidth="1"/>
    <col min="2309" max="2309" width="24.7109375" style="1082" customWidth="1"/>
    <col min="2310" max="2310" width="21.85546875" style="1082" customWidth="1"/>
    <col min="2311" max="2311" width="11.7109375" style="1082" customWidth="1"/>
    <col min="2312" max="2312" width="12.28515625" style="1082" customWidth="1"/>
    <col min="2313" max="2560" width="8.85546875" style="1082"/>
    <col min="2561" max="2561" width="4.5703125" style="1082" customWidth="1"/>
    <col min="2562" max="2562" width="50.140625" style="1082" customWidth="1"/>
    <col min="2563" max="2563" width="15" style="1082" customWidth="1"/>
    <col min="2564" max="2564" width="19.7109375" style="1082" customWidth="1"/>
    <col min="2565" max="2565" width="24.7109375" style="1082" customWidth="1"/>
    <col min="2566" max="2566" width="21.85546875" style="1082" customWidth="1"/>
    <col min="2567" max="2567" width="11.7109375" style="1082" customWidth="1"/>
    <col min="2568" max="2568" width="12.28515625" style="1082" customWidth="1"/>
    <col min="2569" max="2816" width="8.85546875" style="1082"/>
    <col min="2817" max="2817" width="4.5703125" style="1082" customWidth="1"/>
    <col min="2818" max="2818" width="50.140625" style="1082" customWidth="1"/>
    <col min="2819" max="2819" width="15" style="1082" customWidth="1"/>
    <col min="2820" max="2820" width="19.7109375" style="1082" customWidth="1"/>
    <col min="2821" max="2821" width="24.7109375" style="1082" customWidth="1"/>
    <col min="2822" max="2822" width="21.85546875" style="1082" customWidth="1"/>
    <col min="2823" max="2823" width="11.7109375" style="1082" customWidth="1"/>
    <col min="2824" max="2824" width="12.28515625" style="1082" customWidth="1"/>
    <col min="2825" max="3072" width="8.85546875" style="1082"/>
    <col min="3073" max="3073" width="4.5703125" style="1082" customWidth="1"/>
    <col min="3074" max="3074" width="50.140625" style="1082" customWidth="1"/>
    <col min="3075" max="3075" width="15" style="1082" customWidth="1"/>
    <col min="3076" max="3076" width="19.7109375" style="1082" customWidth="1"/>
    <col min="3077" max="3077" width="24.7109375" style="1082" customWidth="1"/>
    <col min="3078" max="3078" width="21.85546875" style="1082" customWidth="1"/>
    <col min="3079" max="3079" width="11.7109375" style="1082" customWidth="1"/>
    <col min="3080" max="3080" width="12.28515625" style="1082" customWidth="1"/>
    <col min="3081" max="3328" width="8.85546875" style="1082"/>
    <col min="3329" max="3329" width="4.5703125" style="1082" customWidth="1"/>
    <col min="3330" max="3330" width="50.140625" style="1082" customWidth="1"/>
    <col min="3331" max="3331" width="15" style="1082" customWidth="1"/>
    <col min="3332" max="3332" width="19.7109375" style="1082" customWidth="1"/>
    <col min="3333" max="3333" width="24.7109375" style="1082" customWidth="1"/>
    <col min="3334" max="3334" width="21.85546875" style="1082" customWidth="1"/>
    <col min="3335" max="3335" width="11.7109375" style="1082" customWidth="1"/>
    <col min="3336" max="3336" width="12.28515625" style="1082" customWidth="1"/>
    <col min="3337" max="3584" width="8.85546875" style="1082"/>
    <col min="3585" max="3585" width="4.5703125" style="1082" customWidth="1"/>
    <col min="3586" max="3586" width="50.140625" style="1082" customWidth="1"/>
    <col min="3587" max="3587" width="15" style="1082" customWidth="1"/>
    <col min="3588" max="3588" width="19.7109375" style="1082" customWidth="1"/>
    <col min="3589" max="3589" width="24.7109375" style="1082" customWidth="1"/>
    <col min="3590" max="3590" width="21.85546875" style="1082" customWidth="1"/>
    <col min="3591" max="3591" width="11.7109375" style="1082" customWidth="1"/>
    <col min="3592" max="3592" width="12.28515625" style="1082" customWidth="1"/>
    <col min="3593" max="3840" width="8.85546875" style="1082"/>
    <col min="3841" max="3841" width="4.5703125" style="1082" customWidth="1"/>
    <col min="3842" max="3842" width="50.140625" style="1082" customWidth="1"/>
    <col min="3843" max="3843" width="15" style="1082" customWidth="1"/>
    <col min="3844" max="3844" width="19.7109375" style="1082" customWidth="1"/>
    <col min="3845" max="3845" width="24.7109375" style="1082" customWidth="1"/>
    <col min="3846" max="3846" width="21.85546875" style="1082" customWidth="1"/>
    <col min="3847" max="3847" width="11.7109375" style="1082" customWidth="1"/>
    <col min="3848" max="3848" width="12.28515625" style="1082" customWidth="1"/>
    <col min="3849" max="4096" width="8.85546875" style="1082"/>
    <col min="4097" max="4097" width="4.5703125" style="1082" customWidth="1"/>
    <col min="4098" max="4098" width="50.140625" style="1082" customWidth="1"/>
    <col min="4099" max="4099" width="15" style="1082" customWidth="1"/>
    <col min="4100" max="4100" width="19.7109375" style="1082" customWidth="1"/>
    <col min="4101" max="4101" width="24.7109375" style="1082" customWidth="1"/>
    <col min="4102" max="4102" width="21.85546875" style="1082" customWidth="1"/>
    <col min="4103" max="4103" width="11.7109375" style="1082" customWidth="1"/>
    <col min="4104" max="4104" width="12.28515625" style="1082" customWidth="1"/>
    <col min="4105" max="4352" width="8.85546875" style="1082"/>
    <col min="4353" max="4353" width="4.5703125" style="1082" customWidth="1"/>
    <col min="4354" max="4354" width="50.140625" style="1082" customWidth="1"/>
    <col min="4355" max="4355" width="15" style="1082" customWidth="1"/>
    <col min="4356" max="4356" width="19.7109375" style="1082" customWidth="1"/>
    <col min="4357" max="4357" width="24.7109375" style="1082" customWidth="1"/>
    <col min="4358" max="4358" width="21.85546875" style="1082" customWidth="1"/>
    <col min="4359" max="4359" width="11.7109375" style="1082" customWidth="1"/>
    <col min="4360" max="4360" width="12.28515625" style="1082" customWidth="1"/>
    <col min="4361" max="4608" width="8.85546875" style="1082"/>
    <col min="4609" max="4609" width="4.5703125" style="1082" customWidth="1"/>
    <col min="4610" max="4610" width="50.140625" style="1082" customWidth="1"/>
    <col min="4611" max="4611" width="15" style="1082" customWidth="1"/>
    <col min="4612" max="4612" width="19.7109375" style="1082" customWidth="1"/>
    <col min="4613" max="4613" width="24.7109375" style="1082" customWidth="1"/>
    <col min="4614" max="4614" width="21.85546875" style="1082" customWidth="1"/>
    <col min="4615" max="4615" width="11.7109375" style="1082" customWidth="1"/>
    <col min="4616" max="4616" width="12.28515625" style="1082" customWidth="1"/>
    <col min="4617" max="4864" width="8.85546875" style="1082"/>
    <col min="4865" max="4865" width="4.5703125" style="1082" customWidth="1"/>
    <col min="4866" max="4866" width="50.140625" style="1082" customWidth="1"/>
    <col min="4867" max="4867" width="15" style="1082" customWidth="1"/>
    <col min="4868" max="4868" width="19.7109375" style="1082" customWidth="1"/>
    <col min="4869" max="4869" width="24.7109375" style="1082" customWidth="1"/>
    <col min="4870" max="4870" width="21.85546875" style="1082" customWidth="1"/>
    <col min="4871" max="4871" width="11.7109375" style="1082" customWidth="1"/>
    <col min="4872" max="4872" width="12.28515625" style="1082" customWidth="1"/>
    <col min="4873" max="5120" width="8.85546875" style="1082"/>
    <col min="5121" max="5121" width="4.5703125" style="1082" customWidth="1"/>
    <col min="5122" max="5122" width="50.140625" style="1082" customWidth="1"/>
    <col min="5123" max="5123" width="15" style="1082" customWidth="1"/>
    <col min="5124" max="5124" width="19.7109375" style="1082" customWidth="1"/>
    <col min="5125" max="5125" width="24.7109375" style="1082" customWidth="1"/>
    <col min="5126" max="5126" width="21.85546875" style="1082" customWidth="1"/>
    <col min="5127" max="5127" width="11.7109375" style="1082" customWidth="1"/>
    <col min="5128" max="5128" width="12.28515625" style="1082" customWidth="1"/>
    <col min="5129" max="5376" width="8.85546875" style="1082"/>
    <col min="5377" max="5377" width="4.5703125" style="1082" customWidth="1"/>
    <col min="5378" max="5378" width="50.140625" style="1082" customWidth="1"/>
    <col min="5379" max="5379" width="15" style="1082" customWidth="1"/>
    <col min="5380" max="5380" width="19.7109375" style="1082" customWidth="1"/>
    <col min="5381" max="5381" width="24.7109375" style="1082" customWidth="1"/>
    <col min="5382" max="5382" width="21.85546875" style="1082" customWidth="1"/>
    <col min="5383" max="5383" width="11.7109375" style="1082" customWidth="1"/>
    <col min="5384" max="5384" width="12.28515625" style="1082" customWidth="1"/>
    <col min="5385" max="5632" width="8.85546875" style="1082"/>
    <col min="5633" max="5633" width="4.5703125" style="1082" customWidth="1"/>
    <col min="5634" max="5634" width="50.140625" style="1082" customWidth="1"/>
    <col min="5635" max="5635" width="15" style="1082" customWidth="1"/>
    <col min="5636" max="5636" width="19.7109375" style="1082" customWidth="1"/>
    <col min="5637" max="5637" width="24.7109375" style="1082" customWidth="1"/>
    <col min="5638" max="5638" width="21.85546875" style="1082" customWidth="1"/>
    <col min="5639" max="5639" width="11.7109375" style="1082" customWidth="1"/>
    <col min="5640" max="5640" width="12.28515625" style="1082" customWidth="1"/>
    <col min="5641" max="5888" width="8.85546875" style="1082"/>
    <col min="5889" max="5889" width="4.5703125" style="1082" customWidth="1"/>
    <col min="5890" max="5890" width="50.140625" style="1082" customWidth="1"/>
    <col min="5891" max="5891" width="15" style="1082" customWidth="1"/>
    <col min="5892" max="5892" width="19.7109375" style="1082" customWidth="1"/>
    <col min="5893" max="5893" width="24.7109375" style="1082" customWidth="1"/>
    <col min="5894" max="5894" width="21.85546875" style="1082" customWidth="1"/>
    <col min="5895" max="5895" width="11.7109375" style="1082" customWidth="1"/>
    <col min="5896" max="5896" width="12.28515625" style="1082" customWidth="1"/>
    <col min="5897" max="6144" width="8.85546875" style="1082"/>
    <col min="6145" max="6145" width="4.5703125" style="1082" customWidth="1"/>
    <col min="6146" max="6146" width="50.140625" style="1082" customWidth="1"/>
    <col min="6147" max="6147" width="15" style="1082" customWidth="1"/>
    <col min="6148" max="6148" width="19.7109375" style="1082" customWidth="1"/>
    <col min="6149" max="6149" width="24.7109375" style="1082" customWidth="1"/>
    <col min="6150" max="6150" width="21.85546875" style="1082" customWidth="1"/>
    <col min="6151" max="6151" width="11.7109375" style="1082" customWidth="1"/>
    <col min="6152" max="6152" width="12.28515625" style="1082" customWidth="1"/>
    <col min="6153" max="6400" width="8.85546875" style="1082"/>
    <col min="6401" max="6401" width="4.5703125" style="1082" customWidth="1"/>
    <col min="6402" max="6402" width="50.140625" style="1082" customWidth="1"/>
    <col min="6403" max="6403" width="15" style="1082" customWidth="1"/>
    <col min="6404" max="6404" width="19.7109375" style="1082" customWidth="1"/>
    <col min="6405" max="6405" width="24.7109375" style="1082" customWidth="1"/>
    <col min="6406" max="6406" width="21.85546875" style="1082" customWidth="1"/>
    <col min="6407" max="6407" width="11.7109375" style="1082" customWidth="1"/>
    <col min="6408" max="6408" width="12.28515625" style="1082" customWidth="1"/>
    <col min="6409" max="6656" width="8.85546875" style="1082"/>
    <col min="6657" max="6657" width="4.5703125" style="1082" customWidth="1"/>
    <col min="6658" max="6658" width="50.140625" style="1082" customWidth="1"/>
    <col min="6659" max="6659" width="15" style="1082" customWidth="1"/>
    <col min="6660" max="6660" width="19.7109375" style="1082" customWidth="1"/>
    <col min="6661" max="6661" width="24.7109375" style="1082" customWidth="1"/>
    <col min="6662" max="6662" width="21.85546875" style="1082" customWidth="1"/>
    <col min="6663" max="6663" width="11.7109375" style="1082" customWidth="1"/>
    <col min="6664" max="6664" width="12.28515625" style="1082" customWidth="1"/>
    <col min="6665" max="6912" width="8.85546875" style="1082"/>
    <col min="6913" max="6913" width="4.5703125" style="1082" customWidth="1"/>
    <col min="6914" max="6914" width="50.140625" style="1082" customWidth="1"/>
    <col min="6915" max="6915" width="15" style="1082" customWidth="1"/>
    <col min="6916" max="6916" width="19.7109375" style="1082" customWidth="1"/>
    <col min="6917" max="6917" width="24.7109375" style="1082" customWidth="1"/>
    <col min="6918" max="6918" width="21.85546875" style="1082" customWidth="1"/>
    <col min="6919" max="6919" width="11.7109375" style="1082" customWidth="1"/>
    <col min="6920" max="6920" width="12.28515625" style="1082" customWidth="1"/>
    <col min="6921" max="7168" width="8.85546875" style="1082"/>
    <col min="7169" max="7169" width="4.5703125" style="1082" customWidth="1"/>
    <col min="7170" max="7170" width="50.140625" style="1082" customWidth="1"/>
    <col min="7171" max="7171" width="15" style="1082" customWidth="1"/>
    <col min="7172" max="7172" width="19.7109375" style="1082" customWidth="1"/>
    <col min="7173" max="7173" width="24.7109375" style="1082" customWidth="1"/>
    <col min="7174" max="7174" width="21.85546875" style="1082" customWidth="1"/>
    <col min="7175" max="7175" width="11.7109375" style="1082" customWidth="1"/>
    <col min="7176" max="7176" width="12.28515625" style="1082" customWidth="1"/>
    <col min="7177" max="7424" width="8.85546875" style="1082"/>
    <col min="7425" max="7425" width="4.5703125" style="1082" customWidth="1"/>
    <col min="7426" max="7426" width="50.140625" style="1082" customWidth="1"/>
    <col min="7427" max="7427" width="15" style="1082" customWidth="1"/>
    <col min="7428" max="7428" width="19.7109375" style="1082" customWidth="1"/>
    <col min="7429" max="7429" width="24.7109375" style="1082" customWidth="1"/>
    <col min="7430" max="7430" width="21.85546875" style="1082" customWidth="1"/>
    <col min="7431" max="7431" width="11.7109375" style="1082" customWidth="1"/>
    <col min="7432" max="7432" width="12.28515625" style="1082" customWidth="1"/>
    <col min="7433" max="7680" width="8.85546875" style="1082"/>
    <col min="7681" max="7681" width="4.5703125" style="1082" customWidth="1"/>
    <col min="7682" max="7682" width="50.140625" style="1082" customWidth="1"/>
    <col min="7683" max="7683" width="15" style="1082" customWidth="1"/>
    <col min="7684" max="7684" width="19.7109375" style="1082" customWidth="1"/>
    <col min="7685" max="7685" width="24.7109375" style="1082" customWidth="1"/>
    <col min="7686" max="7686" width="21.85546875" style="1082" customWidth="1"/>
    <col min="7687" max="7687" width="11.7109375" style="1082" customWidth="1"/>
    <col min="7688" max="7688" width="12.28515625" style="1082" customWidth="1"/>
    <col min="7689" max="7936" width="8.85546875" style="1082"/>
    <col min="7937" max="7937" width="4.5703125" style="1082" customWidth="1"/>
    <col min="7938" max="7938" width="50.140625" style="1082" customWidth="1"/>
    <col min="7939" max="7939" width="15" style="1082" customWidth="1"/>
    <col min="7940" max="7940" width="19.7109375" style="1082" customWidth="1"/>
    <col min="7941" max="7941" width="24.7109375" style="1082" customWidth="1"/>
    <col min="7942" max="7942" width="21.85546875" style="1082" customWidth="1"/>
    <col min="7943" max="7943" width="11.7109375" style="1082" customWidth="1"/>
    <col min="7944" max="7944" width="12.28515625" style="1082" customWidth="1"/>
    <col min="7945" max="8192" width="8.85546875" style="1082"/>
    <col min="8193" max="8193" width="4.5703125" style="1082" customWidth="1"/>
    <col min="8194" max="8194" width="50.140625" style="1082" customWidth="1"/>
    <col min="8195" max="8195" width="15" style="1082" customWidth="1"/>
    <col min="8196" max="8196" width="19.7109375" style="1082" customWidth="1"/>
    <col min="8197" max="8197" width="24.7109375" style="1082" customWidth="1"/>
    <col min="8198" max="8198" width="21.85546875" style="1082" customWidth="1"/>
    <col min="8199" max="8199" width="11.7109375" style="1082" customWidth="1"/>
    <col min="8200" max="8200" width="12.28515625" style="1082" customWidth="1"/>
    <col min="8201" max="8448" width="8.85546875" style="1082"/>
    <col min="8449" max="8449" width="4.5703125" style="1082" customWidth="1"/>
    <col min="8450" max="8450" width="50.140625" style="1082" customWidth="1"/>
    <col min="8451" max="8451" width="15" style="1082" customWidth="1"/>
    <col min="8452" max="8452" width="19.7109375" style="1082" customWidth="1"/>
    <col min="8453" max="8453" width="24.7109375" style="1082" customWidth="1"/>
    <col min="8454" max="8454" width="21.85546875" style="1082" customWidth="1"/>
    <col min="8455" max="8455" width="11.7109375" style="1082" customWidth="1"/>
    <col min="8456" max="8456" width="12.28515625" style="1082" customWidth="1"/>
    <col min="8457" max="8704" width="8.85546875" style="1082"/>
    <col min="8705" max="8705" width="4.5703125" style="1082" customWidth="1"/>
    <col min="8706" max="8706" width="50.140625" style="1082" customWidth="1"/>
    <col min="8707" max="8707" width="15" style="1082" customWidth="1"/>
    <col min="8708" max="8708" width="19.7109375" style="1082" customWidth="1"/>
    <col min="8709" max="8709" width="24.7109375" style="1082" customWidth="1"/>
    <col min="8710" max="8710" width="21.85546875" style="1082" customWidth="1"/>
    <col min="8711" max="8711" width="11.7109375" style="1082" customWidth="1"/>
    <col min="8712" max="8712" width="12.28515625" style="1082" customWidth="1"/>
    <col min="8713" max="8960" width="8.85546875" style="1082"/>
    <col min="8961" max="8961" width="4.5703125" style="1082" customWidth="1"/>
    <col min="8962" max="8962" width="50.140625" style="1082" customWidth="1"/>
    <col min="8963" max="8963" width="15" style="1082" customWidth="1"/>
    <col min="8964" max="8964" width="19.7109375" style="1082" customWidth="1"/>
    <col min="8965" max="8965" width="24.7109375" style="1082" customWidth="1"/>
    <col min="8966" max="8966" width="21.85546875" style="1082" customWidth="1"/>
    <col min="8967" max="8967" width="11.7109375" style="1082" customWidth="1"/>
    <col min="8968" max="8968" width="12.28515625" style="1082" customWidth="1"/>
    <col min="8969" max="9216" width="8.85546875" style="1082"/>
    <col min="9217" max="9217" width="4.5703125" style="1082" customWidth="1"/>
    <col min="9218" max="9218" width="50.140625" style="1082" customWidth="1"/>
    <col min="9219" max="9219" width="15" style="1082" customWidth="1"/>
    <col min="9220" max="9220" width="19.7109375" style="1082" customWidth="1"/>
    <col min="9221" max="9221" width="24.7109375" style="1082" customWidth="1"/>
    <col min="9222" max="9222" width="21.85546875" style="1082" customWidth="1"/>
    <col min="9223" max="9223" width="11.7109375" style="1082" customWidth="1"/>
    <col min="9224" max="9224" width="12.28515625" style="1082" customWidth="1"/>
    <col min="9225" max="9472" width="8.85546875" style="1082"/>
    <col min="9473" max="9473" width="4.5703125" style="1082" customWidth="1"/>
    <col min="9474" max="9474" width="50.140625" style="1082" customWidth="1"/>
    <col min="9475" max="9475" width="15" style="1082" customWidth="1"/>
    <col min="9476" max="9476" width="19.7109375" style="1082" customWidth="1"/>
    <col min="9477" max="9477" width="24.7109375" style="1082" customWidth="1"/>
    <col min="9478" max="9478" width="21.85546875" style="1082" customWidth="1"/>
    <col min="9479" max="9479" width="11.7109375" style="1082" customWidth="1"/>
    <col min="9480" max="9480" width="12.28515625" style="1082" customWidth="1"/>
    <col min="9481" max="9728" width="8.85546875" style="1082"/>
    <col min="9729" max="9729" width="4.5703125" style="1082" customWidth="1"/>
    <col min="9730" max="9730" width="50.140625" style="1082" customWidth="1"/>
    <col min="9731" max="9731" width="15" style="1082" customWidth="1"/>
    <col min="9732" max="9732" width="19.7109375" style="1082" customWidth="1"/>
    <col min="9733" max="9733" width="24.7109375" style="1082" customWidth="1"/>
    <col min="9734" max="9734" width="21.85546875" style="1082" customWidth="1"/>
    <col min="9735" max="9735" width="11.7109375" style="1082" customWidth="1"/>
    <col min="9736" max="9736" width="12.28515625" style="1082" customWidth="1"/>
    <col min="9737" max="9984" width="8.85546875" style="1082"/>
    <col min="9985" max="9985" width="4.5703125" style="1082" customWidth="1"/>
    <col min="9986" max="9986" width="50.140625" style="1082" customWidth="1"/>
    <col min="9987" max="9987" width="15" style="1082" customWidth="1"/>
    <col min="9988" max="9988" width="19.7109375" style="1082" customWidth="1"/>
    <col min="9989" max="9989" width="24.7109375" style="1082" customWidth="1"/>
    <col min="9990" max="9990" width="21.85546875" style="1082" customWidth="1"/>
    <col min="9991" max="9991" width="11.7109375" style="1082" customWidth="1"/>
    <col min="9992" max="9992" width="12.28515625" style="1082" customWidth="1"/>
    <col min="9993" max="10240" width="8.85546875" style="1082"/>
    <col min="10241" max="10241" width="4.5703125" style="1082" customWidth="1"/>
    <col min="10242" max="10242" width="50.140625" style="1082" customWidth="1"/>
    <col min="10243" max="10243" width="15" style="1082" customWidth="1"/>
    <col min="10244" max="10244" width="19.7109375" style="1082" customWidth="1"/>
    <col min="10245" max="10245" width="24.7109375" style="1082" customWidth="1"/>
    <col min="10246" max="10246" width="21.85546875" style="1082" customWidth="1"/>
    <col min="10247" max="10247" width="11.7109375" style="1082" customWidth="1"/>
    <col min="10248" max="10248" width="12.28515625" style="1082" customWidth="1"/>
    <col min="10249" max="10496" width="8.85546875" style="1082"/>
    <col min="10497" max="10497" width="4.5703125" style="1082" customWidth="1"/>
    <col min="10498" max="10498" width="50.140625" style="1082" customWidth="1"/>
    <col min="10499" max="10499" width="15" style="1082" customWidth="1"/>
    <col min="10500" max="10500" width="19.7109375" style="1082" customWidth="1"/>
    <col min="10501" max="10501" width="24.7109375" style="1082" customWidth="1"/>
    <col min="10502" max="10502" width="21.85546875" style="1082" customWidth="1"/>
    <col min="10503" max="10503" width="11.7109375" style="1082" customWidth="1"/>
    <col min="10504" max="10504" width="12.28515625" style="1082" customWidth="1"/>
    <col min="10505" max="10752" width="8.85546875" style="1082"/>
    <col min="10753" max="10753" width="4.5703125" style="1082" customWidth="1"/>
    <col min="10754" max="10754" width="50.140625" style="1082" customWidth="1"/>
    <col min="10755" max="10755" width="15" style="1082" customWidth="1"/>
    <col min="10756" max="10756" width="19.7109375" style="1082" customWidth="1"/>
    <col min="10757" max="10757" width="24.7109375" style="1082" customWidth="1"/>
    <col min="10758" max="10758" width="21.85546875" style="1082" customWidth="1"/>
    <col min="10759" max="10759" width="11.7109375" style="1082" customWidth="1"/>
    <col min="10760" max="10760" width="12.28515625" style="1082" customWidth="1"/>
    <col min="10761" max="11008" width="8.85546875" style="1082"/>
    <col min="11009" max="11009" width="4.5703125" style="1082" customWidth="1"/>
    <col min="11010" max="11010" width="50.140625" style="1082" customWidth="1"/>
    <col min="11011" max="11011" width="15" style="1082" customWidth="1"/>
    <col min="11012" max="11012" width="19.7109375" style="1082" customWidth="1"/>
    <col min="11013" max="11013" width="24.7109375" style="1082" customWidth="1"/>
    <col min="11014" max="11014" width="21.85546875" style="1082" customWidth="1"/>
    <col min="11015" max="11015" width="11.7109375" style="1082" customWidth="1"/>
    <col min="11016" max="11016" width="12.28515625" style="1082" customWidth="1"/>
    <col min="11017" max="11264" width="8.85546875" style="1082"/>
    <col min="11265" max="11265" width="4.5703125" style="1082" customWidth="1"/>
    <col min="11266" max="11266" width="50.140625" style="1082" customWidth="1"/>
    <col min="11267" max="11267" width="15" style="1082" customWidth="1"/>
    <col min="11268" max="11268" width="19.7109375" style="1082" customWidth="1"/>
    <col min="11269" max="11269" width="24.7109375" style="1082" customWidth="1"/>
    <col min="11270" max="11270" width="21.85546875" style="1082" customWidth="1"/>
    <col min="11271" max="11271" width="11.7109375" style="1082" customWidth="1"/>
    <col min="11272" max="11272" width="12.28515625" style="1082" customWidth="1"/>
    <col min="11273" max="11520" width="8.85546875" style="1082"/>
    <col min="11521" max="11521" width="4.5703125" style="1082" customWidth="1"/>
    <col min="11522" max="11522" width="50.140625" style="1082" customWidth="1"/>
    <col min="11523" max="11523" width="15" style="1082" customWidth="1"/>
    <col min="11524" max="11524" width="19.7109375" style="1082" customWidth="1"/>
    <col min="11525" max="11525" width="24.7109375" style="1082" customWidth="1"/>
    <col min="11526" max="11526" width="21.85546875" style="1082" customWidth="1"/>
    <col min="11527" max="11527" width="11.7109375" style="1082" customWidth="1"/>
    <col min="11528" max="11528" width="12.28515625" style="1082" customWidth="1"/>
    <col min="11529" max="11776" width="8.85546875" style="1082"/>
    <col min="11777" max="11777" width="4.5703125" style="1082" customWidth="1"/>
    <col min="11778" max="11778" width="50.140625" style="1082" customWidth="1"/>
    <col min="11779" max="11779" width="15" style="1082" customWidth="1"/>
    <col min="11780" max="11780" width="19.7109375" style="1082" customWidth="1"/>
    <col min="11781" max="11781" width="24.7109375" style="1082" customWidth="1"/>
    <col min="11782" max="11782" width="21.85546875" style="1082" customWidth="1"/>
    <col min="11783" max="11783" width="11.7109375" style="1082" customWidth="1"/>
    <col min="11784" max="11784" width="12.28515625" style="1082" customWidth="1"/>
    <col min="11785" max="12032" width="8.85546875" style="1082"/>
    <col min="12033" max="12033" width="4.5703125" style="1082" customWidth="1"/>
    <col min="12034" max="12034" width="50.140625" style="1082" customWidth="1"/>
    <col min="12035" max="12035" width="15" style="1082" customWidth="1"/>
    <col min="12036" max="12036" width="19.7109375" style="1082" customWidth="1"/>
    <col min="12037" max="12037" width="24.7109375" style="1082" customWidth="1"/>
    <col min="12038" max="12038" width="21.85546875" style="1082" customWidth="1"/>
    <col min="12039" max="12039" width="11.7109375" style="1082" customWidth="1"/>
    <col min="12040" max="12040" width="12.28515625" style="1082" customWidth="1"/>
    <col min="12041" max="12288" width="8.85546875" style="1082"/>
    <col min="12289" max="12289" width="4.5703125" style="1082" customWidth="1"/>
    <col min="12290" max="12290" width="50.140625" style="1082" customWidth="1"/>
    <col min="12291" max="12291" width="15" style="1082" customWidth="1"/>
    <col min="12292" max="12292" width="19.7109375" style="1082" customWidth="1"/>
    <col min="12293" max="12293" width="24.7109375" style="1082" customWidth="1"/>
    <col min="12294" max="12294" width="21.85546875" style="1082" customWidth="1"/>
    <col min="12295" max="12295" width="11.7109375" style="1082" customWidth="1"/>
    <col min="12296" max="12296" width="12.28515625" style="1082" customWidth="1"/>
    <col min="12297" max="12544" width="8.85546875" style="1082"/>
    <col min="12545" max="12545" width="4.5703125" style="1082" customWidth="1"/>
    <col min="12546" max="12546" width="50.140625" style="1082" customWidth="1"/>
    <col min="12547" max="12547" width="15" style="1082" customWidth="1"/>
    <col min="12548" max="12548" width="19.7109375" style="1082" customWidth="1"/>
    <col min="12549" max="12549" width="24.7109375" style="1082" customWidth="1"/>
    <col min="12550" max="12550" width="21.85546875" style="1082" customWidth="1"/>
    <col min="12551" max="12551" width="11.7109375" style="1082" customWidth="1"/>
    <col min="12552" max="12552" width="12.28515625" style="1082" customWidth="1"/>
    <col min="12553" max="12800" width="8.85546875" style="1082"/>
    <col min="12801" max="12801" width="4.5703125" style="1082" customWidth="1"/>
    <col min="12802" max="12802" width="50.140625" style="1082" customWidth="1"/>
    <col min="12803" max="12803" width="15" style="1082" customWidth="1"/>
    <col min="12804" max="12804" width="19.7109375" style="1082" customWidth="1"/>
    <col min="12805" max="12805" width="24.7109375" style="1082" customWidth="1"/>
    <col min="12806" max="12806" width="21.85546875" style="1082" customWidth="1"/>
    <col min="12807" max="12807" width="11.7109375" style="1082" customWidth="1"/>
    <col min="12808" max="12808" width="12.28515625" style="1082" customWidth="1"/>
    <col min="12809" max="13056" width="8.85546875" style="1082"/>
    <col min="13057" max="13057" width="4.5703125" style="1082" customWidth="1"/>
    <col min="13058" max="13058" width="50.140625" style="1082" customWidth="1"/>
    <col min="13059" max="13059" width="15" style="1082" customWidth="1"/>
    <col min="13060" max="13060" width="19.7109375" style="1082" customWidth="1"/>
    <col min="13061" max="13061" width="24.7109375" style="1082" customWidth="1"/>
    <col min="13062" max="13062" width="21.85546875" style="1082" customWidth="1"/>
    <col min="13063" max="13063" width="11.7109375" style="1082" customWidth="1"/>
    <col min="13064" max="13064" width="12.28515625" style="1082" customWidth="1"/>
    <col min="13065" max="13312" width="8.85546875" style="1082"/>
    <col min="13313" max="13313" width="4.5703125" style="1082" customWidth="1"/>
    <col min="13314" max="13314" width="50.140625" style="1082" customWidth="1"/>
    <col min="13315" max="13315" width="15" style="1082" customWidth="1"/>
    <col min="13316" max="13316" width="19.7109375" style="1082" customWidth="1"/>
    <col min="13317" max="13317" width="24.7109375" style="1082" customWidth="1"/>
    <col min="13318" max="13318" width="21.85546875" style="1082" customWidth="1"/>
    <col min="13319" max="13319" width="11.7109375" style="1082" customWidth="1"/>
    <col min="13320" max="13320" width="12.28515625" style="1082" customWidth="1"/>
    <col min="13321" max="13568" width="8.85546875" style="1082"/>
    <col min="13569" max="13569" width="4.5703125" style="1082" customWidth="1"/>
    <col min="13570" max="13570" width="50.140625" style="1082" customWidth="1"/>
    <col min="13571" max="13571" width="15" style="1082" customWidth="1"/>
    <col min="13572" max="13572" width="19.7109375" style="1082" customWidth="1"/>
    <col min="13573" max="13573" width="24.7109375" style="1082" customWidth="1"/>
    <col min="13574" max="13574" width="21.85546875" style="1082" customWidth="1"/>
    <col min="13575" max="13575" width="11.7109375" style="1082" customWidth="1"/>
    <col min="13576" max="13576" width="12.28515625" style="1082" customWidth="1"/>
    <col min="13577" max="13824" width="8.85546875" style="1082"/>
    <col min="13825" max="13825" width="4.5703125" style="1082" customWidth="1"/>
    <col min="13826" max="13826" width="50.140625" style="1082" customWidth="1"/>
    <col min="13827" max="13827" width="15" style="1082" customWidth="1"/>
    <col min="13828" max="13828" width="19.7109375" style="1082" customWidth="1"/>
    <col min="13829" max="13829" width="24.7109375" style="1082" customWidth="1"/>
    <col min="13830" max="13830" width="21.85546875" style="1082" customWidth="1"/>
    <col min="13831" max="13831" width="11.7109375" style="1082" customWidth="1"/>
    <col min="13832" max="13832" width="12.28515625" style="1082" customWidth="1"/>
    <col min="13833" max="14080" width="8.85546875" style="1082"/>
    <col min="14081" max="14081" width="4.5703125" style="1082" customWidth="1"/>
    <col min="14082" max="14082" width="50.140625" style="1082" customWidth="1"/>
    <col min="14083" max="14083" width="15" style="1082" customWidth="1"/>
    <col min="14084" max="14084" width="19.7109375" style="1082" customWidth="1"/>
    <col min="14085" max="14085" width="24.7109375" style="1082" customWidth="1"/>
    <col min="14086" max="14086" width="21.85546875" style="1082" customWidth="1"/>
    <col min="14087" max="14087" width="11.7109375" style="1082" customWidth="1"/>
    <col min="14088" max="14088" width="12.28515625" style="1082" customWidth="1"/>
    <col min="14089" max="14336" width="8.85546875" style="1082"/>
    <col min="14337" max="14337" width="4.5703125" style="1082" customWidth="1"/>
    <col min="14338" max="14338" width="50.140625" style="1082" customWidth="1"/>
    <col min="14339" max="14339" width="15" style="1082" customWidth="1"/>
    <col min="14340" max="14340" width="19.7109375" style="1082" customWidth="1"/>
    <col min="14341" max="14341" width="24.7109375" style="1082" customWidth="1"/>
    <col min="14342" max="14342" width="21.85546875" style="1082" customWidth="1"/>
    <col min="14343" max="14343" width="11.7109375" style="1082" customWidth="1"/>
    <col min="14344" max="14344" width="12.28515625" style="1082" customWidth="1"/>
    <col min="14345" max="14592" width="8.85546875" style="1082"/>
    <col min="14593" max="14593" width="4.5703125" style="1082" customWidth="1"/>
    <col min="14594" max="14594" width="50.140625" style="1082" customWidth="1"/>
    <col min="14595" max="14595" width="15" style="1082" customWidth="1"/>
    <col min="14596" max="14596" width="19.7109375" style="1082" customWidth="1"/>
    <col min="14597" max="14597" width="24.7109375" style="1082" customWidth="1"/>
    <col min="14598" max="14598" width="21.85546875" style="1082" customWidth="1"/>
    <col min="14599" max="14599" width="11.7109375" style="1082" customWidth="1"/>
    <col min="14600" max="14600" width="12.28515625" style="1082" customWidth="1"/>
    <col min="14601" max="14848" width="8.85546875" style="1082"/>
    <col min="14849" max="14849" width="4.5703125" style="1082" customWidth="1"/>
    <col min="14850" max="14850" width="50.140625" style="1082" customWidth="1"/>
    <col min="14851" max="14851" width="15" style="1082" customWidth="1"/>
    <col min="14852" max="14852" width="19.7109375" style="1082" customWidth="1"/>
    <col min="14853" max="14853" width="24.7109375" style="1082" customWidth="1"/>
    <col min="14854" max="14854" width="21.85546875" style="1082" customWidth="1"/>
    <col min="14855" max="14855" width="11.7109375" style="1082" customWidth="1"/>
    <col min="14856" max="14856" width="12.28515625" style="1082" customWidth="1"/>
    <col min="14857" max="15104" width="8.85546875" style="1082"/>
    <col min="15105" max="15105" width="4.5703125" style="1082" customWidth="1"/>
    <col min="15106" max="15106" width="50.140625" style="1082" customWidth="1"/>
    <col min="15107" max="15107" width="15" style="1082" customWidth="1"/>
    <col min="15108" max="15108" width="19.7109375" style="1082" customWidth="1"/>
    <col min="15109" max="15109" width="24.7109375" style="1082" customWidth="1"/>
    <col min="15110" max="15110" width="21.85546875" style="1082" customWidth="1"/>
    <col min="15111" max="15111" width="11.7109375" style="1082" customWidth="1"/>
    <col min="15112" max="15112" width="12.28515625" style="1082" customWidth="1"/>
    <col min="15113" max="15360" width="8.85546875" style="1082"/>
    <col min="15361" max="15361" width="4.5703125" style="1082" customWidth="1"/>
    <col min="15362" max="15362" width="50.140625" style="1082" customWidth="1"/>
    <col min="15363" max="15363" width="15" style="1082" customWidth="1"/>
    <col min="15364" max="15364" width="19.7109375" style="1082" customWidth="1"/>
    <col min="15365" max="15365" width="24.7109375" style="1082" customWidth="1"/>
    <col min="15366" max="15366" width="21.85546875" style="1082" customWidth="1"/>
    <col min="15367" max="15367" width="11.7109375" style="1082" customWidth="1"/>
    <col min="15368" max="15368" width="12.28515625" style="1082" customWidth="1"/>
    <col min="15369" max="15616" width="8.85546875" style="1082"/>
    <col min="15617" max="15617" width="4.5703125" style="1082" customWidth="1"/>
    <col min="15618" max="15618" width="50.140625" style="1082" customWidth="1"/>
    <col min="15619" max="15619" width="15" style="1082" customWidth="1"/>
    <col min="15620" max="15620" width="19.7109375" style="1082" customWidth="1"/>
    <col min="15621" max="15621" width="24.7109375" style="1082" customWidth="1"/>
    <col min="15622" max="15622" width="21.85546875" style="1082" customWidth="1"/>
    <col min="15623" max="15623" width="11.7109375" style="1082" customWidth="1"/>
    <col min="15624" max="15624" width="12.28515625" style="1082" customWidth="1"/>
    <col min="15625" max="15872" width="8.85546875" style="1082"/>
    <col min="15873" max="15873" width="4.5703125" style="1082" customWidth="1"/>
    <col min="15874" max="15874" width="50.140625" style="1082" customWidth="1"/>
    <col min="15875" max="15875" width="15" style="1082" customWidth="1"/>
    <col min="15876" max="15876" width="19.7109375" style="1082" customWidth="1"/>
    <col min="15877" max="15877" width="24.7109375" style="1082" customWidth="1"/>
    <col min="15878" max="15878" width="21.85546875" style="1082" customWidth="1"/>
    <col min="15879" max="15879" width="11.7109375" style="1082" customWidth="1"/>
    <col min="15880" max="15880" width="12.28515625" style="1082" customWidth="1"/>
    <col min="15881" max="16128" width="8.85546875" style="1082"/>
    <col min="16129" max="16129" width="4.5703125" style="1082" customWidth="1"/>
    <col min="16130" max="16130" width="50.140625" style="1082" customWidth="1"/>
    <col min="16131" max="16131" width="15" style="1082" customWidth="1"/>
    <col min="16132" max="16132" width="19.7109375" style="1082" customWidth="1"/>
    <col min="16133" max="16133" width="24.7109375" style="1082" customWidth="1"/>
    <col min="16134" max="16134" width="21.85546875" style="1082" customWidth="1"/>
    <col min="16135" max="16135" width="11.7109375" style="1082" customWidth="1"/>
    <col min="16136" max="16136" width="12.28515625" style="1082" customWidth="1"/>
    <col min="16137" max="16384" width="8.85546875" style="1082"/>
  </cols>
  <sheetData>
    <row r="1" spans="2:6" ht="51.75" customHeight="1" thickBot="1" x14ac:dyDescent="0.3">
      <c r="B1" s="3200" t="s">
        <v>128</v>
      </c>
      <c r="C1" s="3200"/>
      <c r="D1" s="3200"/>
      <c r="E1" s="3200"/>
      <c r="F1" s="3200"/>
    </row>
    <row r="2" spans="2:6" ht="31.5" customHeight="1" thickBot="1" x14ac:dyDescent="0.3">
      <c r="B2" s="3201" t="s">
        <v>96</v>
      </c>
      <c r="C2" s="3126" t="s">
        <v>872</v>
      </c>
      <c r="D2" s="3126"/>
      <c r="E2" s="3126"/>
      <c r="F2" s="3127"/>
    </row>
    <row r="3" spans="2:6" ht="30" customHeight="1" thickBot="1" x14ac:dyDescent="0.3">
      <c r="B3" s="3201" t="s">
        <v>4</v>
      </c>
      <c r="C3" s="3128" t="s">
        <v>143</v>
      </c>
      <c r="D3" s="3128"/>
      <c r="E3" s="3128"/>
      <c r="F3" s="3129"/>
    </row>
    <row r="4" spans="2:6" ht="31.5" customHeight="1" thickBot="1" x14ac:dyDescent="0.3">
      <c r="B4" s="3201" t="s">
        <v>136</v>
      </c>
      <c r="C4" s="3130" t="s">
        <v>5</v>
      </c>
      <c r="D4" s="3130"/>
      <c r="E4" s="3130"/>
      <c r="F4" s="3131"/>
    </row>
    <row r="5" spans="2:6" ht="31.5" customHeight="1" thickBot="1" x14ac:dyDescent="0.3">
      <c r="B5" s="3202" t="s">
        <v>582</v>
      </c>
      <c r="C5" s="3203"/>
      <c r="D5" s="3203"/>
      <c r="E5" s="3203"/>
      <c r="F5" s="3204"/>
    </row>
    <row r="6" spans="2:6" ht="31.5" customHeight="1" thickBot="1" x14ac:dyDescent="0.3">
      <c r="B6" s="3205" t="s">
        <v>874</v>
      </c>
      <c r="C6" s="3122"/>
      <c r="D6" s="3122"/>
      <c r="E6" s="3122"/>
      <c r="F6" s="3123"/>
    </row>
    <row r="7" spans="2:6" ht="12.6" customHeight="1" thickBot="1" x14ac:dyDescent="0.3">
      <c r="B7" s="3121"/>
      <c r="C7" s="3122"/>
      <c r="D7" s="3122"/>
      <c r="E7" s="3122"/>
      <c r="F7" s="3123"/>
    </row>
    <row r="8" spans="2:6" ht="12.6" customHeight="1" thickBot="1" x14ac:dyDescent="0.3">
      <c r="B8" s="3121"/>
      <c r="C8" s="3122"/>
      <c r="D8" s="3122"/>
      <c r="E8" s="3122"/>
      <c r="F8" s="3123"/>
    </row>
    <row r="9" spans="2:6" ht="12.6" customHeight="1" thickBot="1" x14ac:dyDescent="0.3">
      <c r="B9" s="3121"/>
      <c r="C9" s="3122"/>
      <c r="D9" s="3122"/>
      <c r="E9" s="3122"/>
      <c r="F9" s="3123"/>
    </row>
    <row r="10" spans="2:6" ht="102" customHeight="1" thickBot="1" x14ac:dyDescent="0.3">
      <c r="B10" s="3121"/>
      <c r="C10" s="3122"/>
      <c r="D10" s="3122"/>
      <c r="E10" s="3122"/>
      <c r="F10" s="3123"/>
    </row>
    <row r="11" spans="2:6" ht="31.5" customHeight="1" thickBot="1" x14ac:dyDescent="0.3">
      <c r="B11" s="3202" t="s">
        <v>875</v>
      </c>
      <c r="C11" s="3203"/>
      <c r="D11" s="3203"/>
      <c r="E11" s="3203"/>
      <c r="F11" s="3204"/>
    </row>
    <row r="12" spans="2:6" ht="12.6" customHeight="1" thickBot="1" x14ac:dyDescent="0.3">
      <c r="B12" s="3205" t="s">
        <v>876</v>
      </c>
      <c r="C12" s="3122"/>
      <c r="D12" s="3122"/>
      <c r="E12" s="3122"/>
      <c r="F12" s="3123"/>
    </row>
    <row r="13" spans="2:6" ht="12.6" customHeight="1" thickBot="1" x14ac:dyDescent="0.3">
      <c r="B13" s="3121"/>
      <c r="C13" s="3122"/>
      <c r="D13" s="3122"/>
      <c r="E13" s="3122"/>
      <c r="F13" s="3123"/>
    </row>
    <row r="14" spans="2:6" ht="12.6" customHeight="1" thickBot="1" x14ac:dyDescent="0.3">
      <c r="B14" s="3121"/>
      <c r="C14" s="3122"/>
      <c r="D14" s="3122"/>
      <c r="E14" s="3122"/>
      <c r="F14" s="3123"/>
    </row>
    <row r="15" spans="2:6" ht="12.6" customHeight="1" thickBot="1" x14ac:dyDescent="0.3">
      <c r="B15" s="3121"/>
      <c r="C15" s="3122"/>
      <c r="D15" s="3122"/>
      <c r="E15" s="3122"/>
      <c r="F15" s="3123"/>
    </row>
    <row r="16" spans="2:6" ht="12.6" customHeight="1" thickBot="1" x14ac:dyDescent="0.3">
      <c r="B16" s="3121"/>
      <c r="C16" s="3122"/>
      <c r="D16" s="3122"/>
      <c r="E16" s="3122"/>
      <c r="F16" s="3123"/>
    </row>
    <row r="17" spans="2:6" ht="75.75" customHeight="1" thickBot="1" x14ac:dyDescent="0.3">
      <c r="B17" s="3121"/>
      <c r="C17" s="3122"/>
      <c r="D17" s="3122"/>
      <c r="E17" s="3122"/>
      <c r="F17" s="3123"/>
    </row>
    <row r="18" spans="2:6" ht="22.5" customHeight="1" x14ac:dyDescent="0.25">
      <c r="B18" s="3124" t="s">
        <v>119</v>
      </c>
      <c r="C18" s="1715">
        <v>2018</v>
      </c>
      <c r="D18" s="1715">
        <v>2019</v>
      </c>
      <c r="E18" s="1715">
        <v>2020</v>
      </c>
      <c r="F18" s="1715">
        <v>2021</v>
      </c>
    </row>
    <row r="19" spans="2:6" ht="24" customHeight="1" thickBot="1" x14ac:dyDescent="0.3">
      <c r="B19" s="3125"/>
      <c r="C19" s="1716" t="s">
        <v>6</v>
      </c>
      <c r="D19" s="1716" t="s">
        <v>7</v>
      </c>
      <c r="E19" s="1716" t="s">
        <v>7</v>
      </c>
      <c r="F19" s="1716" t="s">
        <v>7</v>
      </c>
    </row>
    <row r="20" spans="2:6" ht="18" customHeight="1" thickBot="1" x14ac:dyDescent="0.3">
      <c r="B20" s="1845" t="s">
        <v>877</v>
      </c>
      <c r="C20" s="1839">
        <v>25</v>
      </c>
      <c r="D20" s="1839">
        <v>25</v>
      </c>
      <c r="E20" s="1839">
        <v>25</v>
      </c>
      <c r="F20" s="1839">
        <v>25</v>
      </c>
    </row>
    <row r="21" spans="2:6" ht="16.5" thickBot="1" x14ac:dyDescent="0.3">
      <c r="B21" s="1845" t="s">
        <v>878</v>
      </c>
      <c r="C21" s="1839">
        <v>50</v>
      </c>
      <c r="D21" s="1839">
        <v>54</v>
      </c>
      <c r="E21" s="1839">
        <v>60</v>
      </c>
      <c r="F21" s="1839">
        <v>64</v>
      </c>
    </row>
    <row r="22" spans="2:6" ht="26.25" customHeight="1" thickBot="1" x14ac:dyDescent="0.3">
      <c r="B22" s="1845" t="s">
        <v>879</v>
      </c>
      <c r="C22" s="1840">
        <v>20384</v>
      </c>
      <c r="D22" s="1840">
        <v>20500</v>
      </c>
      <c r="E22" s="1840">
        <v>20700</v>
      </c>
      <c r="F22" s="1840">
        <v>21000</v>
      </c>
    </row>
    <row r="23" spans="2:6" ht="26.25" customHeight="1" thickBot="1" x14ac:dyDescent="0.3">
      <c r="B23" s="1845" t="s">
        <v>880</v>
      </c>
      <c r="C23" s="1841">
        <v>142</v>
      </c>
      <c r="D23" s="1841">
        <v>142</v>
      </c>
      <c r="E23" s="1841">
        <v>142</v>
      </c>
      <c r="F23" s="1841">
        <v>142</v>
      </c>
    </row>
    <row r="24" spans="2:6" ht="82.9" customHeight="1" thickBot="1" x14ac:dyDescent="0.3">
      <c r="B24" s="1845" t="s">
        <v>881</v>
      </c>
      <c r="C24" s="1841">
        <v>150</v>
      </c>
      <c r="D24" s="1841">
        <v>180</v>
      </c>
      <c r="E24" s="1841">
        <v>200</v>
      </c>
      <c r="F24" s="1841">
        <v>200</v>
      </c>
    </row>
    <row r="25" spans="2:6" ht="44.25" customHeight="1" thickBot="1" x14ac:dyDescent="0.3">
      <c r="B25" s="1845" t="s">
        <v>882</v>
      </c>
      <c r="C25" s="1842">
        <v>600</v>
      </c>
      <c r="D25" s="1842">
        <v>700</v>
      </c>
      <c r="E25" s="1842">
        <v>800</v>
      </c>
      <c r="F25" s="1842">
        <v>900</v>
      </c>
    </row>
    <row r="26" spans="2:6" ht="48" customHeight="1" thickBot="1" x14ac:dyDescent="0.3">
      <c r="B26" s="1845" t="s">
        <v>883</v>
      </c>
      <c r="C26" s="1843" t="s">
        <v>884</v>
      </c>
      <c r="D26" s="1843" t="s">
        <v>884</v>
      </c>
      <c r="E26" s="1843" t="s">
        <v>884</v>
      </c>
      <c r="F26" s="1843" t="s">
        <v>884</v>
      </c>
    </row>
    <row r="27" spans="2:6" ht="57" customHeight="1" thickBot="1" x14ac:dyDescent="0.3">
      <c r="B27" s="1845" t="s">
        <v>1197</v>
      </c>
      <c r="C27" s="1841">
        <v>15</v>
      </c>
      <c r="D27" s="1841">
        <v>18</v>
      </c>
      <c r="E27" s="1841">
        <v>20</v>
      </c>
      <c r="F27" s="1841">
        <v>25</v>
      </c>
    </row>
    <row r="28" spans="2:6" ht="37.15" customHeight="1" thickBot="1" x14ac:dyDescent="0.3">
      <c r="B28" s="1845" t="s">
        <v>886</v>
      </c>
      <c r="C28" s="1841">
        <v>3</v>
      </c>
      <c r="D28" s="1841">
        <v>6</v>
      </c>
      <c r="E28" s="1841">
        <v>9</v>
      </c>
      <c r="F28" s="1841">
        <v>12</v>
      </c>
    </row>
    <row r="29" spans="2:6" ht="44.25" customHeight="1" thickBot="1" x14ac:dyDescent="0.3">
      <c r="B29" s="1673" t="s">
        <v>12</v>
      </c>
      <c r="C29" s="2599" t="s">
        <v>887</v>
      </c>
      <c r="D29" s="2600"/>
      <c r="E29" s="2600"/>
      <c r="F29" s="2601"/>
    </row>
    <row r="30" spans="2:6" ht="20.100000000000001" customHeight="1" thickBot="1" x14ac:dyDescent="0.3">
      <c r="B30" s="2605" t="s">
        <v>120</v>
      </c>
      <c r="C30" s="2606"/>
      <c r="D30" s="2606"/>
      <c r="E30" s="2606"/>
      <c r="F30" s="2607"/>
    </row>
    <row r="31" spans="2:6" ht="20.100000000000001" customHeight="1" thickBot="1" x14ac:dyDescent="0.3">
      <c r="B31" s="1845" t="s">
        <v>877</v>
      </c>
      <c r="C31" s="1722">
        <f>C41</f>
        <v>25</v>
      </c>
      <c r="D31" s="1722">
        <f>D41</f>
        <v>25</v>
      </c>
      <c r="E31" s="1722">
        <f>E41</f>
        <v>25</v>
      </c>
      <c r="F31" s="1722">
        <f>F41</f>
        <v>25</v>
      </c>
    </row>
    <row r="32" spans="2:6" ht="20.100000000000001" customHeight="1" thickBot="1" x14ac:dyDescent="0.3">
      <c r="B32" s="1845" t="s">
        <v>878</v>
      </c>
      <c r="C32" s="1722">
        <v>50</v>
      </c>
      <c r="D32" s="1722">
        <v>54</v>
      </c>
      <c r="E32" s="1722">
        <v>60</v>
      </c>
      <c r="F32" s="1722">
        <v>64</v>
      </c>
    </row>
    <row r="33" spans="2:6" ht="20.100000000000001" customHeight="1" thickBot="1" x14ac:dyDescent="0.3">
      <c r="B33" s="1845" t="s">
        <v>888</v>
      </c>
      <c r="C33" s="1840">
        <v>20384</v>
      </c>
      <c r="D33" s="1840">
        <v>20500</v>
      </c>
      <c r="E33" s="1840">
        <v>20700</v>
      </c>
      <c r="F33" s="1840">
        <v>21000</v>
      </c>
    </row>
    <row r="34" spans="2:6" ht="20.100000000000001" customHeight="1" thickBot="1" x14ac:dyDescent="0.3">
      <c r="B34" s="3073" t="s">
        <v>66</v>
      </c>
      <c r="C34" s="3074"/>
      <c r="D34" s="3074"/>
      <c r="E34" s="3074"/>
      <c r="F34" s="3075"/>
    </row>
    <row r="35" spans="2:6" ht="20.100000000000001" customHeight="1" thickBot="1" x14ac:dyDescent="0.3">
      <c r="B35" s="3073" t="s">
        <v>121</v>
      </c>
      <c r="C35" s="3074"/>
      <c r="D35" s="3074"/>
      <c r="E35" s="3074"/>
      <c r="F35" s="3075"/>
    </row>
    <row r="36" spans="2:6" ht="32.25" customHeight="1" thickBot="1" x14ac:dyDescent="0.3">
      <c r="B36" s="1846" t="s">
        <v>45</v>
      </c>
      <c r="C36" s="2605" t="s">
        <v>889</v>
      </c>
      <c r="D36" s="2606"/>
      <c r="E36" s="2606"/>
      <c r="F36" s="2607"/>
    </row>
    <row r="37" spans="2:6" ht="45.75" customHeight="1" thickBot="1" x14ac:dyDescent="0.3">
      <c r="B37" s="1845" t="s">
        <v>10</v>
      </c>
      <c r="C37" s="2602" t="s">
        <v>890</v>
      </c>
      <c r="D37" s="2603"/>
      <c r="E37" s="2603"/>
      <c r="F37" s="2604"/>
    </row>
    <row r="38" spans="2:6" ht="20.100000000000001" customHeight="1" thickBot="1" x14ac:dyDescent="0.3">
      <c r="B38" s="1845" t="s">
        <v>13</v>
      </c>
      <c r="C38" s="2593" t="s">
        <v>891</v>
      </c>
      <c r="D38" s="2594"/>
      <c r="E38" s="2594"/>
      <c r="F38" s="2595"/>
    </row>
    <row r="39" spans="2:6" ht="20.100000000000001" customHeight="1" x14ac:dyDescent="0.25">
      <c r="B39" s="3076"/>
      <c r="C39" s="1728">
        <v>2018</v>
      </c>
      <c r="D39" s="1728">
        <v>2019</v>
      </c>
      <c r="E39" s="1728">
        <v>2020</v>
      </c>
      <c r="F39" s="1728">
        <v>2021</v>
      </c>
    </row>
    <row r="40" spans="2:6" ht="20.100000000000001" customHeight="1" thickBot="1" x14ac:dyDescent="0.3">
      <c r="B40" s="3077"/>
      <c r="C40" s="1748" t="s">
        <v>6</v>
      </c>
      <c r="D40" s="1748" t="s">
        <v>7</v>
      </c>
      <c r="E40" s="1748" t="s">
        <v>7</v>
      </c>
      <c r="F40" s="1748" t="s">
        <v>7</v>
      </c>
    </row>
    <row r="41" spans="2:6" ht="20.100000000000001" customHeight="1" thickBot="1" x14ac:dyDescent="0.3">
      <c r="B41" s="1845" t="s">
        <v>9</v>
      </c>
      <c r="C41" s="1847">
        <v>25</v>
      </c>
      <c r="D41" s="1847">
        <v>25</v>
      </c>
      <c r="E41" s="1847">
        <v>25</v>
      </c>
      <c r="F41" s="1847">
        <v>25</v>
      </c>
    </row>
    <row r="42" spans="2:6" ht="20.100000000000001" customHeight="1" thickBot="1" x14ac:dyDescent="0.3">
      <c r="B42" s="1845" t="s">
        <v>14</v>
      </c>
      <c r="C42" s="1847">
        <v>61500</v>
      </c>
      <c r="D42" s="1847">
        <v>75000</v>
      </c>
      <c r="E42" s="1847">
        <v>100000</v>
      </c>
      <c r="F42" s="1847">
        <v>120000</v>
      </c>
    </row>
    <row r="43" spans="2:6" ht="20.100000000000001" customHeight="1" thickBot="1" x14ac:dyDescent="0.3">
      <c r="B43" s="1845" t="s">
        <v>23</v>
      </c>
      <c r="C43" s="1847">
        <f>C42/C41</f>
        <v>2460</v>
      </c>
      <c r="D43" s="1847">
        <f>D42/D41</f>
        <v>3000</v>
      </c>
      <c r="E43" s="1847">
        <f>E42/E41</f>
        <v>4000</v>
      </c>
      <c r="F43" s="1847">
        <f>F42/F41</f>
        <v>4800</v>
      </c>
    </row>
    <row r="44" spans="2:6" ht="20.100000000000001" customHeight="1" thickBot="1" x14ac:dyDescent="0.3">
      <c r="B44" s="1845" t="s">
        <v>15</v>
      </c>
      <c r="C44" s="1747" t="s">
        <v>21</v>
      </c>
      <c r="D44" s="1720">
        <f>D41/C41-1</f>
        <v>0</v>
      </c>
      <c r="E44" s="1720">
        <f t="shared" ref="E44:F46" si="0">E41/D41-1</f>
        <v>0</v>
      </c>
      <c r="F44" s="1720">
        <f t="shared" si="0"/>
        <v>0</v>
      </c>
    </row>
    <row r="45" spans="2:6" ht="20.100000000000001" customHeight="1" thickBot="1" x14ac:dyDescent="0.3">
      <c r="B45" s="1845" t="s">
        <v>16</v>
      </c>
      <c r="C45" s="1747" t="s">
        <v>21</v>
      </c>
      <c r="D45" s="1720">
        <f>D42/C42-1</f>
        <v>0.21951219512195119</v>
      </c>
      <c r="E45" s="1720">
        <f t="shared" si="0"/>
        <v>0.33333333333333326</v>
      </c>
      <c r="F45" s="1720">
        <f t="shared" si="0"/>
        <v>0.19999999999999996</v>
      </c>
    </row>
    <row r="46" spans="2:6" ht="20.100000000000001" customHeight="1" thickBot="1" x14ac:dyDescent="0.3">
      <c r="B46" s="1845" t="s">
        <v>17</v>
      </c>
      <c r="C46" s="1747" t="s">
        <v>21</v>
      </c>
      <c r="D46" s="1720">
        <f>D43/C43-1</f>
        <v>0.21951219512195119</v>
      </c>
      <c r="E46" s="1720">
        <f t="shared" si="0"/>
        <v>0.33333333333333326</v>
      </c>
      <c r="F46" s="1720">
        <f t="shared" si="0"/>
        <v>0.19999999999999996</v>
      </c>
    </row>
    <row r="47" spans="2:6" ht="20.100000000000001" customHeight="1" thickBot="1" x14ac:dyDescent="0.3">
      <c r="B47" s="3078" t="s">
        <v>1177</v>
      </c>
      <c r="C47" s="3079"/>
      <c r="D47" s="3079"/>
      <c r="E47" s="3079"/>
      <c r="F47" s="3080"/>
    </row>
    <row r="48" spans="2:6" ht="20.100000000000001" customHeight="1" x14ac:dyDescent="0.25">
      <c r="B48" s="3076"/>
      <c r="C48" s="1728">
        <v>2018</v>
      </c>
      <c r="D48" s="1728">
        <v>2019</v>
      </c>
      <c r="E48" s="1728">
        <v>2020</v>
      </c>
      <c r="F48" s="1728">
        <v>2021</v>
      </c>
    </row>
    <row r="49" spans="2:6" ht="20.100000000000001" customHeight="1" thickBot="1" x14ac:dyDescent="0.3">
      <c r="B49" s="3077"/>
      <c r="C49" s="1748" t="s">
        <v>6</v>
      </c>
      <c r="D49" s="1748" t="s">
        <v>7</v>
      </c>
      <c r="E49" s="1748" t="s">
        <v>7</v>
      </c>
      <c r="F49" s="1748" t="s">
        <v>7</v>
      </c>
    </row>
    <row r="50" spans="2:6" ht="20.100000000000001" customHeight="1" thickBot="1" x14ac:dyDescent="0.3">
      <c r="B50" s="1845" t="s">
        <v>0</v>
      </c>
      <c r="C50" s="1766"/>
      <c r="D50" s="1766"/>
      <c r="E50" s="1766"/>
      <c r="F50" s="1766"/>
    </row>
    <row r="51" spans="2:6" ht="20.100000000000001" customHeight="1" thickBot="1" x14ac:dyDescent="0.3">
      <c r="B51" s="1845" t="s">
        <v>49</v>
      </c>
      <c r="C51" s="1766"/>
      <c r="D51" s="1766"/>
      <c r="E51" s="1766"/>
      <c r="F51" s="1766"/>
    </row>
    <row r="52" spans="2:6" ht="20.100000000000001" customHeight="1" thickBot="1" x14ac:dyDescent="0.3">
      <c r="B52" s="1845" t="s">
        <v>1</v>
      </c>
      <c r="C52" s="1767">
        <v>12000</v>
      </c>
      <c r="D52" s="1766"/>
      <c r="E52" s="1766"/>
      <c r="F52" s="1766"/>
    </row>
    <row r="53" spans="2:6" ht="20.100000000000001" customHeight="1" thickBot="1" x14ac:dyDescent="0.3">
      <c r="B53" s="1845" t="s">
        <v>2</v>
      </c>
      <c r="C53" s="1767"/>
      <c r="D53" s="1766"/>
      <c r="E53" s="1766"/>
      <c r="F53" s="1766"/>
    </row>
    <row r="54" spans="2:6" ht="20.100000000000001" customHeight="1" thickBot="1" x14ac:dyDescent="0.3">
      <c r="B54" s="1845" t="s">
        <v>28</v>
      </c>
      <c r="C54" s="1767">
        <f>49500</f>
        <v>49500</v>
      </c>
      <c r="D54" s="1767">
        <f>D42</f>
        <v>75000</v>
      </c>
      <c r="E54" s="1767">
        <f>E42</f>
        <v>100000</v>
      </c>
      <c r="F54" s="1767">
        <f>F42</f>
        <v>120000</v>
      </c>
    </row>
    <row r="55" spans="2:6" ht="20.100000000000001" customHeight="1" thickBot="1" x14ac:dyDescent="0.3">
      <c r="B55" s="1845" t="s">
        <v>30</v>
      </c>
      <c r="C55" s="1767"/>
      <c r="D55" s="1766"/>
      <c r="E55" s="1766"/>
      <c r="F55" s="1766"/>
    </row>
    <row r="56" spans="2:6" ht="20.100000000000001" customHeight="1" thickBot="1" x14ac:dyDescent="0.3">
      <c r="B56" s="1845" t="s">
        <v>3</v>
      </c>
      <c r="C56" s="1767"/>
      <c r="D56" s="1766"/>
      <c r="E56" s="1766"/>
      <c r="F56" s="1766"/>
    </row>
    <row r="57" spans="2:6" ht="20.100000000000001" customHeight="1" thickBot="1" x14ac:dyDescent="0.3">
      <c r="B57" s="1848" t="s">
        <v>68</v>
      </c>
      <c r="C57" s="1767">
        <f>C56+C55+C54+C53+C52+C51+C50</f>
        <v>61500</v>
      </c>
      <c r="D57" s="1767">
        <f>D56+D55+D54+D53+D52+D51+D50</f>
        <v>75000</v>
      </c>
      <c r="E57" s="1767">
        <f>E56+E55+E54+E53+E52+E51+E50</f>
        <v>100000</v>
      </c>
      <c r="F57" s="1767">
        <f>F56+F55+F54+F53+F52+F51+F50</f>
        <v>120000</v>
      </c>
    </row>
    <row r="58" spans="2:6" ht="20.100000000000001" customHeight="1" thickBot="1" x14ac:dyDescent="0.3">
      <c r="B58" s="1846" t="s">
        <v>70</v>
      </c>
      <c r="C58" s="1753">
        <f>C57-C42</f>
        <v>0</v>
      </c>
      <c r="D58" s="1753">
        <f>D57-D42</f>
        <v>0</v>
      </c>
      <c r="E58" s="1753">
        <f>E57-E42</f>
        <v>0</v>
      </c>
      <c r="F58" s="1753">
        <f>F57-F42</f>
        <v>0</v>
      </c>
    </row>
    <row r="59" spans="2:6" ht="20.100000000000001" customHeight="1" thickBot="1" x14ac:dyDescent="0.3">
      <c r="B59" s="3073" t="s">
        <v>66</v>
      </c>
      <c r="C59" s="3074"/>
      <c r="D59" s="3074"/>
      <c r="E59" s="3074"/>
      <c r="F59" s="3075"/>
    </row>
    <row r="60" spans="2:6" ht="28.5" customHeight="1" thickBot="1" x14ac:dyDescent="0.3">
      <c r="B60" s="1846" t="s">
        <v>892</v>
      </c>
      <c r="C60" s="3118" t="s">
        <v>893</v>
      </c>
      <c r="D60" s="3119"/>
      <c r="E60" s="3119"/>
      <c r="F60" s="3120"/>
    </row>
    <row r="61" spans="2:6" ht="68.25" customHeight="1" thickBot="1" x14ac:dyDescent="0.3">
      <c r="B61" s="1845" t="s">
        <v>10</v>
      </c>
      <c r="C61" s="2608" t="s">
        <v>894</v>
      </c>
      <c r="D61" s="2609"/>
      <c r="E61" s="2609"/>
      <c r="F61" s="2610"/>
    </row>
    <row r="62" spans="2:6" ht="20.100000000000001" customHeight="1" thickBot="1" x14ac:dyDescent="0.3">
      <c r="B62" s="1845" t="s">
        <v>13</v>
      </c>
      <c r="C62" s="3086" t="s">
        <v>880</v>
      </c>
      <c r="D62" s="3087"/>
      <c r="E62" s="3087"/>
      <c r="F62" s="3088"/>
    </row>
    <row r="63" spans="2:6" ht="20.100000000000001" customHeight="1" x14ac:dyDescent="0.25">
      <c r="B63" s="3076"/>
      <c r="C63" s="1728">
        <v>2018</v>
      </c>
      <c r="D63" s="1728">
        <v>2019</v>
      </c>
      <c r="E63" s="1728">
        <v>2020</v>
      </c>
      <c r="F63" s="1728">
        <v>2021</v>
      </c>
    </row>
    <row r="64" spans="2:6" ht="20.100000000000001" customHeight="1" thickBot="1" x14ac:dyDescent="0.3">
      <c r="B64" s="3077"/>
      <c r="C64" s="1748" t="s">
        <v>6</v>
      </c>
      <c r="D64" s="1748" t="s">
        <v>7</v>
      </c>
      <c r="E64" s="1748" t="s">
        <v>7</v>
      </c>
      <c r="F64" s="1748" t="s">
        <v>7</v>
      </c>
    </row>
    <row r="65" spans="2:6" ht="20.100000000000001" customHeight="1" thickBot="1" x14ac:dyDescent="0.3">
      <c r="B65" s="1845" t="s">
        <v>9</v>
      </c>
      <c r="C65" s="1748">
        <v>142</v>
      </c>
      <c r="D65" s="1748">
        <v>142</v>
      </c>
      <c r="E65" s="1748">
        <v>142</v>
      </c>
      <c r="F65" s="1748">
        <v>142</v>
      </c>
    </row>
    <row r="66" spans="2:6" ht="20.100000000000001" customHeight="1" thickBot="1" x14ac:dyDescent="0.3">
      <c r="B66" s="1845" t="s">
        <v>14</v>
      </c>
      <c r="C66" s="1847">
        <v>26500</v>
      </c>
      <c r="D66" s="1847">
        <v>30000</v>
      </c>
      <c r="E66" s="1847">
        <v>33000</v>
      </c>
      <c r="F66" s="1847">
        <v>36000</v>
      </c>
    </row>
    <row r="67" spans="2:6" ht="20.100000000000001" customHeight="1" thickBot="1" x14ac:dyDescent="0.3">
      <c r="B67" s="1845" t="s">
        <v>23</v>
      </c>
      <c r="C67" s="1847">
        <f>C66/C65</f>
        <v>186.61971830985917</v>
      </c>
      <c r="D67" s="1847">
        <f>D66/D65</f>
        <v>211.26760563380282</v>
      </c>
      <c r="E67" s="1847">
        <f>E66/E65</f>
        <v>232.3943661971831</v>
      </c>
      <c r="F67" s="1847">
        <f>F66/F65</f>
        <v>253.52112676056339</v>
      </c>
    </row>
    <row r="68" spans="2:6" ht="20.100000000000001" customHeight="1" thickBot="1" x14ac:dyDescent="0.3">
      <c r="B68" s="1845" t="s">
        <v>15</v>
      </c>
      <c r="C68" s="1747"/>
      <c r="D68" s="1720">
        <f>D65/C65-1</f>
        <v>0</v>
      </c>
      <c r="E68" s="1720">
        <f>E65/D65-1</f>
        <v>0</v>
      </c>
      <c r="F68" s="1720">
        <f>F65/E65-1</f>
        <v>0</v>
      </c>
    </row>
    <row r="69" spans="2:6" ht="20.100000000000001" customHeight="1" thickBot="1" x14ac:dyDescent="0.3">
      <c r="B69" s="1845" t="s">
        <v>16</v>
      </c>
      <c r="C69" s="1747"/>
      <c r="D69" s="1720">
        <f t="shared" ref="D69:F70" si="1">D66/C66-1</f>
        <v>0.13207547169811318</v>
      </c>
      <c r="E69" s="1720">
        <f t="shared" si="1"/>
        <v>0.10000000000000009</v>
      </c>
      <c r="F69" s="1720">
        <f t="shared" si="1"/>
        <v>9.0909090909090828E-2</v>
      </c>
    </row>
    <row r="70" spans="2:6" ht="20.100000000000001" customHeight="1" thickBot="1" x14ac:dyDescent="0.3">
      <c r="B70" s="1845" t="s">
        <v>17</v>
      </c>
      <c r="C70" s="1747"/>
      <c r="D70" s="1720">
        <f t="shared" si="1"/>
        <v>0.13207547169811318</v>
      </c>
      <c r="E70" s="1720">
        <f t="shared" si="1"/>
        <v>0.10000000000000009</v>
      </c>
      <c r="F70" s="1720">
        <f t="shared" si="1"/>
        <v>9.0909090909090828E-2</v>
      </c>
    </row>
    <row r="71" spans="2:6" ht="20.100000000000001" customHeight="1" thickBot="1" x14ac:dyDescent="0.3">
      <c r="B71" s="3078" t="s">
        <v>1195</v>
      </c>
      <c r="C71" s="3079"/>
      <c r="D71" s="3079"/>
      <c r="E71" s="3079"/>
      <c r="F71" s="3080"/>
    </row>
    <row r="72" spans="2:6" ht="20.100000000000001" customHeight="1" x14ac:dyDescent="0.25">
      <c r="B72" s="3076"/>
      <c r="C72" s="1728">
        <v>2018</v>
      </c>
      <c r="D72" s="1728">
        <v>2019</v>
      </c>
      <c r="E72" s="1728">
        <v>2020</v>
      </c>
      <c r="F72" s="1728">
        <v>2021</v>
      </c>
    </row>
    <row r="73" spans="2:6" ht="20.100000000000001" customHeight="1" thickBot="1" x14ac:dyDescent="0.3">
      <c r="B73" s="3077"/>
      <c r="C73" s="1748" t="s">
        <v>6</v>
      </c>
      <c r="D73" s="1748" t="s">
        <v>7</v>
      </c>
      <c r="E73" s="1748" t="s">
        <v>7</v>
      </c>
      <c r="F73" s="1748" t="s">
        <v>7</v>
      </c>
    </row>
    <row r="74" spans="2:6" ht="20.100000000000001" customHeight="1" thickBot="1" x14ac:dyDescent="0.3">
      <c r="B74" s="1845" t="s">
        <v>0</v>
      </c>
      <c r="C74" s="1766"/>
      <c r="D74" s="1766"/>
      <c r="E74" s="1766"/>
      <c r="F74" s="1766"/>
    </row>
    <row r="75" spans="2:6" ht="20.100000000000001" customHeight="1" thickBot="1" x14ac:dyDescent="0.3">
      <c r="B75" s="1845" t="s">
        <v>49</v>
      </c>
      <c r="C75" s="1766"/>
      <c r="D75" s="1766"/>
      <c r="E75" s="1766"/>
      <c r="F75" s="1766"/>
    </row>
    <row r="76" spans="2:6" ht="20.100000000000001" customHeight="1" thickBot="1" x14ac:dyDescent="0.3">
      <c r="B76" s="1845" t="s">
        <v>1</v>
      </c>
      <c r="C76" s="1767"/>
      <c r="D76" s="1766"/>
      <c r="E76" s="1766"/>
      <c r="F76" s="1766"/>
    </row>
    <row r="77" spans="2:6" ht="20.100000000000001" customHeight="1" thickBot="1" x14ac:dyDescent="0.3">
      <c r="B77" s="1845" t="s">
        <v>2</v>
      </c>
      <c r="C77" s="1767"/>
      <c r="D77" s="1766"/>
      <c r="E77" s="1766"/>
      <c r="F77" s="1766"/>
    </row>
    <row r="78" spans="2:6" ht="20.100000000000001" customHeight="1" thickBot="1" x14ac:dyDescent="0.3">
      <c r="B78" s="1845" t="s">
        <v>28</v>
      </c>
      <c r="C78" s="1767">
        <f>C66</f>
        <v>26500</v>
      </c>
      <c r="D78" s="1766">
        <f>D66</f>
        <v>30000</v>
      </c>
      <c r="E78" s="1766">
        <f>E66</f>
        <v>33000</v>
      </c>
      <c r="F78" s="1766">
        <f>F66</f>
        <v>36000</v>
      </c>
    </row>
    <row r="79" spans="2:6" ht="20.100000000000001" customHeight="1" thickBot="1" x14ac:dyDescent="0.3">
      <c r="B79" s="1845" t="s">
        <v>30</v>
      </c>
      <c r="C79" s="1767"/>
      <c r="D79" s="1766"/>
      <c r="E79" s="1766"/>
      <c r="F79" s="1766"/>
    </row>
    <row r="80" spans="2:6" ht="20.100000000000001" customHeight="1" thickBot="1" x14ac:dyDescent="0.3">
      <c r="B80" s="1845" t="s">
        <v>3</v>
      </c>
      <c r="C80" s="1767"/>
      <c r="D80" s="1766"/>
      <c r="E80" s="1766"/>
      <c r="F80" s="1766"/>
    </row>
    <row r="81" spans="2:6" ht="20.100000000000001" customHeight="1" thickBot="1" x14ac:dyDescent="0.3">
      <c r="B81" s="1849" t="s">
        <v>71</v>
      </c>
      <c r="C81" s="1767">
        <f>C80+C79+C78+C77+C76+C75+C74</f>
        <v>26500</v>
      </c>
      <c r="D81" s="1767">
        <f>D80+D79+D78+D77+D76+D75+D74</f>
        <v>30000</v>
      </c>
      <c r="E81" s="1767">
        <f>E80+E79+E78+E77+E76+E75+E74</f>
        <v>33000</v>
      </c>
      <c r="F81" s="1767">
        <f>F80+F79+F78+F77+F76+F75+F74</f>
        <v>36000</v>
      </c>
    </row>
    <row r="82" spans="2:6" ht="20.100000000000001" customHeight="1" thickBot="1" x14ac:dyDescent="0.3">
      <c r="B82" s="1846" t="s">
        <v>70</v>
      </c>
      <c r="C82" s="1850">
        <f>IF(C81-C66=0,0,"Error")</f>
        <v>0</v>
      </c>
      <c r="D82" s="1850">
        <f>IF(D81-D66=0,0,"Error")</f>
        <v>0</v>
      </c>
      <c r="E82" s="1850">
        <f>IF(E81-E66=0,0,"Error")</f>
        <v>0</v>
      </c>
      <c r="F82" s="1850">
        <f>IF(F81-F66=0,0,"Error")</f>
        <v>0</v>
      </c>
    </row>
    <row r="83" spans="2:6" ht="20.100000000000001" customHeight="1" thickBot="1" x14ac:dyDescent="0.3">
      <c r="B83" s="3073" t="s">
        <v>66</v>
      </c>
      <c r="C83" s="3074"/>
      <c r="D83" s="3074"/>
      <c r="E83" s="3074"/>
      <c r="F83" s="3075"/>
    </row>
    <row r="84" spans="2:6" ht="20.100000000000001" customHeight="1" thickBot="1" x14ac:dyDescent="0.3">
      <c r="B84" s="3073" t="s">
        <v>100</v>
      </c>
      <c r="C84" s="3074"/>
      <c r="D84" s="3074"/>
      <c r="E84" s="3074"/>
      <c r="F84" s="3075"/>
    </row>
    <row r="85" spans="2:6" ht="20.100000000000001" customHeight="1" thickBot="1" x14ac:dyDescent="0.3">
      <c r="B85" s="3073" t="s">
        <v>101</v>
      </c>
      <c r="C85" s="3074"/>
      <c r="D85" s="3074"/>
      <c r="E85" s="3074"/>
      <c r="F85" s="3075"/>
    </row>
    <row r="86" spans="2:6" ht="20.100000000000001" customHeight="1" thickBot="1" x14ac:dyDescent="0.3">
      <c r="B86" s="1845" t="s">
        <v>114</v>
      </c>
      <c r="C86" s="3113" t="s">
        <v>46</v>
      </c>
      <c r="D86" s="3114"/>
      <c r="E86" s="3114"/>
      <c r="F86" s="3115"/>
    </row>
    <row r="87" spans="2:6" ht="34.5" customHeight="1" thickBot="1" x14ac:dyDescent="0.3">
      <c r="B87" s="1851" t="s">
        <v>896</v>
      </c>
      <c r="C87" s="3092" t="s">
        <v>897</v>
      </c>
      <c r="D87" s="3092"/>
      <c r="E87" s="3092"/>
      <c r="F87" s="3092"/>
    </row>
    <row r="88" spans="2:6" ht="20.100000000000001" customHeight="1" x14ac:dyDescent="0.25">
      <c r="B88" s="3116" t="s">
        <v>10</v>
      </c>
      <c r="C88" s="3082" t="s">
        <v>898</v>
      </c>
      <c r="D88" s="3082"/>
      <c r="E88" s="3082"/>
      <c r="F88" s="3082"/>
    </row>
    <row r="89" spans="2:6" ht="20.100000000000001" customHeight="1" thickBot="1" x14ac:dyDescent="0.3">
      <c r="B89" s="3117"/>
      <c r="C89" s="3082"/>
      <c r="D89" s="3082"/>
      <c r="E89" s="3082"/>
      <c r="F89" s="3082"/>
    </row>
    <row r="90" spans="2:6" ht="20.100000000000001" customHeight="1" thickBot="1" x14ac:dyDescent="0.3">
      <c r="B90" s="1852" t="s">
        <v>13</v>
      </c>
      <c r="C90" s="3082" t="s">
        <v>899</v>
      </c>
      <c r="D90" s="3082"/>
      <c r="E90" s="3082"/>
      <c r="F90" s="3082"/>
    </row>
    <row r="91" spans="2:6" ht="20.100000000000001" customHeight="1" x14ac:dyDescent="0.25">
      <c r="B91" s="3076"/>
      <c r="C91" s="1728">
        <v>2018</v>
      </c>
      <c r="D91" s="1728">
        <v>2019</v>
      </c>
      <c r="E91" s="1728">
        <v>2020</v>
      </c>
      <c r="F91" s="1728">
        <v>2021</v>
      </c>
    </row>
    <row r="92" spans="2:6" ht="20.100000000000001" customHeight="1" thickBot="1" x14ac:dyDescent="0.3">
      <c r="B92" s="3077"/>
      <c r="C92" s="1748" t="s">
        <v>6</v>
      </c>
      <c r="D92" s="1748" t="s">
        <v>7</v>
      </c>
      <c r="E92" s="1748" t="s">
        <v>7</v>
      </c>
      <c r="F92" s="1748" t="s">
        <v>7</v>
      </c>
    </row>
    <row r="93" spans="2:6" ht="20.100000000000001" customHeight="1" thickBot="1" x14ac:dyDescent="0.3">
      <c r="B93" s="1845" t="s">
        <v>9</v>
      </c>
      <c r="C93" s="1847">
        <v>3</v>
      </c>
      <c r="D93" s="1847">
        <v>6</v>
      </c>
      <c r="E93" s="1847">
        <v>6</v>
      </c>
      <c r="F93" s="1847">
        <v>6</v>
      </c>
    </row>
    <row r="94" spans="2:6" ht="20.100000000000001" customHeight="1" thickBot="1" x14ac:dyDescent="0.3">
      <c r="B94" s="1845" t="s">
        <v>14</v>
      </c>
      <c r="C94" s="1847">
        <v>259816</v>
      </c>
      <c r="D94" s="1847">
        <v>350000</v>
      </c>
      <c r="E94" s="1847">
        <v>350000</v>
      </c>
      <c r="F94" s="1847">
        <v>350000</v>
      </c>
    </row>
    <row r="95" spans="2:6" ht="20.100000000000001" customHeight="1" thickBot="1" x14ac:dyDescent="0.3">
      <c r="B95" s="1845" t="s">
        <v>23</v>
      </c>
      <c r="C95" s="1847">
        <f>C94/C93</f>
        <v>86605.333333333328</v>
      </c>
      <c r="D95" s="1847">
        <f>D94/D93</f>
        <v>58333.333333333336</v>
      </c>
      <c r="E95" s="1847">
        <f>E94/E93</f>
        <v>58333.333333333336</v>
      </c>
      <c r="F95" s="1847">
        <f>F94/F93</f>
        <v>58333.333333333336</v>
      </c>
    </row>
    <row r="96" spans="2:6" ht="20.100000000000001" customHeight="1" thickBot="1" x14ac:dyDescent="0.3">
      <c r="B96" s="1845" t="s">
        <v>15</v>
      </c>
      <c r="C96" s="1747" t="s">
        <v>21</v>
      </c>
      <c r="D96" s="1720">
        <f>D93/C93-1</f>
        <v>1</v>
      </c>
      <c r="E96" s="1720">
        <f t="shared" ref="E96:F98" si="2">E93/D93-1</f>
        <v>0</v>
      </c>
      <c r="F96" s="1720">
        <f t="shared" si="2"/>
        <v>0</v>
      </c>
    </row>
    <row r="97" spans="2:6" ht="20.100000000000001" customHeight="1" thickBot="1" x14ac:dyDescent="0.3">
      <c r="B97" s="1845" t="s">
        <v>16</v>
      </c>
      <c r="C97" s="1747" t="s">
        <v>21</v>
      </c>
      <c r="D97" s="1720">
        <f>D94/C94-1</f>
        <v>0.34710718354527814</v>
      </c>
      <c r="E97" s="1720">
        <f t="shared" si="2"/>
        <v>0</v>
      </c>
      <c r="F97" s="1720">
        <f t="shared" si="2"/>
        <v>0</v>
      </c>
    </row>
    <row r="98" spans="2:6" ht="20.100000000000001" customHeight="1" thickBot="1" x14ac:dyDescent="0.3">
      <c r="B98" s="1845" t="s">
        <v>17</v>
      </c>
      <c r="C98" s="1747" t="s">
        <v>21</v>
      </c>
      <c r="D98" s="1720">
        <f>D95/C95-1</f>
        <v>-0.32644640822736082</v>
      </c>
      <c r="E98" s="1720">
        <f t="shared" si="2"/>
        <v>0</v>
      </c>
      <c r="F98" s="1720">
        <f t="shared" si="2"/>
        <v>0</v>
      </c>
    </row>
    <row r="99" spans="2:6" ht="20.100000000000001" customHeight="1" thickBot="1" x14ac:dyDescent="0.3">
      <c r="B99" s="3078" t="s">
        <v>1195</v>
      </c>
      <c r="C99" s="3079"/>
      <c r="D99" s="3079"/>
      <c r="E99" s="3079"/>
      <c r="F99" s="3080"/>
    </row>
    <row r="100" spans="2:6" ht="20.100000000000001" customHeight="1" x14ac:dyDescent="0.25">
      <c r="B100" s="3076"/>
      <c r="C100" s="1728">
        <v>2018</v>
      </c>
      <c r="D100" s="1728">
        <v>2019</v>
      </c>
      <c r="E100" s="1728">
        <v>2020</v>
      </c>
      <c r="F100" s="1728">
        <v>2021</v>
      </c>
    </row>
    <row r="101" spans="2:6" ht="20.100000000000001" customHeight="1" thickBot="1" x14ac:dyDescent="0.3">
      <c r="B101" s="3077"/>
      <c r="C101" s="1748" t="s">
        <v>6</v>
      </c>
      <c r="D101" s="1748" t="s">
        <v>7</v>
      </c>
      <c r="E101" s="1748" t="s">
        <v>7</v>
      </c>
      <c r="F101" s="1748" t="s">
        <v>7</v>
      </c>
    </row>
    <row r="102" spans="2:6" ht="20.100000000000001" customHeight="1" thickBot="1" x14ac:dyDescent="0.3">
      <c r="B102" s="1853" t="s">
        <v>104</v>
      </c>
      <c r="C102" s="1854">
        <v>0</v>
      </c>
      <c r="D102" s="1854">
        <v>0</v>
      </c>
      <c r="E102" s="1854">
        <v>0</v>
      </c>
      <c r="F102" s="1854">
        <v>0</v>
      </c>
    </row>
    <row r="103" spans="2:6" ht="20.100000000000001" customHeight="1" thickBot="1" x14ac:dyDescent="0.3">
      <c r="B103" s="1853" t="s">
        <v>105</v>
      </c>
      <c r="C103" s="1847">
        <f>C94</f>
        <v>259816</v>
      </c>
      <c r="D103" s="1847">
        <f>D94</f>
        <v>350000</v>
      </c>
      <c r="E103" s="1847">
        <f>E94</f>
        <v>350000</v>
      </c>
      <c r="F103" s="1847">
        <f>F94</f>
        <v>350000</v>
      </c>
    </row>
    <row r="104" spans="2:6" ht="20.100000000000001" customHeight="1" thickBot="1" x14ac:dyDescent="0.3">
      <c r="B104" s="1855" t="s">
        <v>71</v>
      </c>
      <c r="C104" s="1847">
        <f>C94</f>
        <v>259816</v>
      </c>
      <c r="D104" s="1847">
        <f>D103+D102</f>
        <v>350000</v>
      </c>
      <c r="E104" s="1847">
        <f>E103+E102</f>
        <v>350000</v>
      </c>
      <c r="F104" s="1847">
        <f>F103+F102</f>
        <v>350000</v>
      </c>
    </row>
    <row r="105" spans="2:6" ht="20.100000000000001" customHeight="1" thickBot="1" x14ac:dyDescent="0.3">
      <c r="B105" s="1846" t="s">
        <v>70</v>
      </c>
      <c r="C105" s="1753">
        <f>C104-C94</f>
        <v>0</v>
      </c>
      <c r="D105" s="1753">
        <f>D104-D94</f>
        <v>0</v>
      </c>
      <c r="E105" s="1753">
        <f>E104-E94</f>
        <v>0</v>
      </c>
      <c r="F105" s="1753">
        <f>F104-F94</f>
        <v>0</v>
      </c>
    </row>
    <row r="106" spans="2:6" ht="20.100000000000001" customHeight="1" thickBot="1" x14ac:dyDescent="0.3">
      <c r="B106" s="3073" t="s">
        <v>67</v>
      </c>
      <c r="C106" s="3074"/>
      <c r="D106" s="3074"/>
      <c r="E106" s="3074"/>
      <c r="F106" s="3075"/>
    </row>
    <row r="107" spans="2:6" ht="39.75" customHeight="1" thickBot="1" x14ac:dyDescent="0.3">
      <c r="B107" s="1846" t="s">
        <v>45</v>
      </c>
      <c r="C107" s="3094" t="s">
        <v>900</v>
      </c>
      <c r="D107" s="3095"/>
      <c r="E107" s="3095"/>
      <c r="F107" s="3112"/>
    </row>
    <row r="108" spans="2:6" ht="35.25" customHeight="1" thickBot="1" x14ac:dyDescent="0.3">
      <c r="B108" s="1845" t="s">
        <v>10</v>
      </c>
      <c r="C108" s="2608" t="s">
        <v>901</v>
      </c>
      <c r="D108" s="2609"/>
      <c r="E108" s="2609"/>
      <c r="F108" s="2610"/>
    </row>
    <row r="109" spans="2:6" ht="20.100000000000001" customHeight="1" thickBot="1" x14ac:dyDescent="0.3">
      <c r="B109" s="1845" t="s">
        <v>13</v>
      </c>
      <c r="C109" s="3086" t="s">
        <v>902</v>
      </c>
      <c r="D109" s="3087"/>
      <c r="E109" s="3087"/>
      <c r="F109" s="3088"/>
    </row>
    <row r="110" spans="2:6" ht="20.100000000000001" customHeight="1" x14ac:dyDescent="0.25">
      <c r="B110" s="3076"/>
      <c r="C110" s="1728">
        <v>2018</v>
      </c>
      <c r="D110" s="1728">
        <v>2019</v>
      </c>
      <c r="E110" s="1728">
        <v>2020</v>
      </c>
      <c r="F110" s="1728">
        <v>2021</v>
      </c>
    </row>
    <row r="111" spans="2:6" ht="20.100000000000001" customHeight="1" thickBot="1" x14ac:dyDescent="0.3">
      <c r="B111" s="3077"/>
      <c r="C111" s="1748" t="s">
        <v>6</v>
      </c>
      <c r="D111" s="1748" t="s">
        <v>7</v>
      </c>
      <c r="E111" s="1748" t="s">
        <v>7</v>
      </c>
      <c r="F111" s="1748" t="s">
        <v>7</v>
      </c>
    </row>
    <row r="112" spans="2:6" ht="20.100000000000001" customHeight="1" thickBot="1" x14ac:dyDescent="0.3">
      <c r="B112" s="1845" t="s">
        <v>9</v>
      </c>
      <c r="C112" s="1748">
        <v>4</v>
      </c>
      <c r="D112" s="1748">
        <v>4</v>
      </c>
      <c r="E112" s="1748">
        <v>4</v>
      </c>
      <c r="F112" s="1748">
        <v>4</v>
      </c>
    </row>
    <row r="113" spans="2:6" ht="20.100000000000001" customHeight="1" thickBot="1" x14ac:dyDescent="0.3">
      <c r="B113" s="1845" t="s">
        <v>14</v>
      </c>
      <c r="C113" s="1847">
        <v>1000</v>
      </c>
      <c r="D113" s="1847">
        <v>1000</v>
      </c>
      <c r="E113" s="1847">
        <v>1000</v>
      </c>
      <c r="F113" s="1847">
        <v>1000</v>
      </c>
    </row>
    <row r="114" spans="2:6" ht="20.100000000000001" customHeight="1" thickBot="1" x14ac:dyDescent="0.3">
      <c r="B114" s="1845" t="s">
        <v>23</v>
      </c>
      <c r="C114" s="1847">
        <f>C113/C112</f>
        <v>250</v>
      </c>
      <c r="D114" s="1847">
        <f>D113/D112</f>
        <v>250</v>
      </c>
      <c r="E114" s="1847">
        <f>E113/E112</f>
        <v>250</v>
      </c>
      <c r="F114" s="1847">
        <f>F113/F112</f>
        <v>250</v>
      </c>
    </row>
    <row r="115" spans="2:6" ht="20.100000000000001" customHeight="1" thickBot="1" x14ac:dyDescent="0.3">
      <c r="B115" s="1845" t="s">
        <v>15</v>
      </c>
      <c r="C115" s="1747"/>
      <c r="D115" s="1720">
        <f>D112/C112-1</f>
        <v>0</v>
      </c>
      <c r="E115" s="1720">
        <f>E112/D112-1</f>
        <v>0</v>
      </c>
      <c r="F115" s="1720">
        <f>F112/E112-1</f>
        <v>0</v>
      </c>
    </row>
    <row r="116" spans="2:6" ht="20.100000000000001" customHeight="1" thickBot="1" x14ac:dyDescent="0.3">
      <c r="B116" s="1845" t="s">
        <v>16</v>
      </c>
      <c r="C116" s="1747"/>
      <c r="D116" s="1720">
        <f t="shared" ref="D116:F117" si="3">D113/C113-1</f>
        <v>0</v>
      </c>
      <c r="E116" s="1720">
        <f t="shared" si="3"/>
        <v>0</v>
      </c>
      <c r="F116" s="1720">
        <f t="shared" si="3"/>
        <v>0</v>
      </c>
    </row>
    <row r="117" spans="2:6" ht="20.100000000000001" customHeight="1" thickBot="1" x14ac:dyDescent="0.3">
      <c r="B117" s="1845" t="s">
        <v>17</v>
      </c>
      <c r="C117" s="1747"/>
      <c r="D117" s="1720">
        <f t="shared" si="3"/>
        <v>0</v>
      </c>
      <c r="E117" s="1720">
        <f t="shared" si="3"/>
        <v>0</v>
      </c>
      <c r="F117" s="1720">
        <f t="shared" si="3"/>
        <v>0</v>
      </c>
    </row>
    <row r="118" spans="2:6" ht="20.100000000000001" customHeight="1" thickBot="1" x14ac:dyDescent="0.3">
      <c r="B118" s="3078" t="s">
        <v>1195</v>
      </c>
      <c r="C118" s="3079"/>
      <c r="D118" s="3079"/>
      <c r="E118" s="3079"/>
      <c r="F118" s="3080"/>
    </row>
    <row r="119" spans="2:6" ht="20.100000000000001" customHeight="1" x14ac:dyDescent="0.25">
      <c r="B119" s="3076"/>
      <c r="C119" s="1728">
        <v>2018</v>
      </c>
      <c r="D119" s="1728">
        <v>2019</v>
      </c>
      <c r="E119" s="1728">
        <v>2020</v>
      </c>
      <c r="F119" s="1728">
        <v>2021</v>
      </c>
    </row>
    <row r="120" spans="2:6" ht="20.100000000000001" customHeight="1" thickBot="1" x14ac:dyDescent="0.3">
      <c r="B120" s="3077"/>
      <c r="C120" s="1748" t="s">
        <v>6</v>
      </c>
      <c r="D120" s="1748" t="s">
        <v>7</v>
      </c>
      <c r="E120" s="1748" t="s">
        <v>7</v>
      </c>
      <c r="F120" s="1748" t="s">
        <v>7</v>
      </c>
    </row>
    <row r="121" spans="2:6" ht="20.100000000000001" customHeight="1" thickBot="1" x14ac:dyDescent="0.3">
      <c r="B121" s="1845" t="s">
        <v>0</v>
      </c>
      <c r="C121" s="1766"/>
      <c r="D121" s="1766"/>
      <c r="E121" s="1766"/>
      <c r="F121" s="1766"/>
    </row>
    <row r="122" spans="2:6" ht="20.100000000000001" customHeight="1" thickBot="1" x14ac:dyDescent="0.3">
      <c r="B122" s="1845" t="s">
        <v>49</v>
      </c>
      <c r="C122" s="1766"/>
      <c r="D122" s="1766"/>
      <c r="E122" s="1766"/>
      <c r="F122" s="1766"/>
    </row>
    <row r="123" spans="2:6" ht="20.100000000000001" customHeight="1" thickBot="1" x14ac:dyDescent="0.3">
      <c r="B123" s="1845" t="s">
        <v>1</v>
      </c>
      <c r="C123" s="1767"/>
      <c r="D123" s="1766"/>
      <c r="E123" s="1766"/>
      <c r="F123" s="1766"/>
    </row>
    <row r="124" spans="2:6" ht="20.100000000000001" customHeight="1" thickBot="1" x14ac:dyDescent="0.3">
      <c r="B124" s="1845" t="s">
        <v>2</v>
      </c>
      <c r="C124" s="1767"/>
      <c r="D124" s="1766"/>
      <c r="E124" s="1766"/>
      <c r="F124" s="1766"/>
    </row>
    <row r="125" spans="2:6" ht="20.100000000000001" customHeight="1" thickBot="1" x14ac:dyDescent="0.3">
      <c r="B125" s="1845" t="s">
        <v>28</v>
      </c>
      <c r="C125" s="1767">
        <f>C113</f>
        <v>1000</v>
      </c>
      <c r="D125" s="1766">
        <f>D113</f>
        <v>1000</v>
      </c>
      <c r="E125" s="1766">
        <f>E113</f>
        <v>1000</v>
      </c>
      <c r="F125" s="1766">
        <f>F113</f>
        <v>1000</v>
      </c>
    </row>
    <row r="126" spans="2:6" ht="20.100000000000001" customHeight="1" thickBot="1" x14ac:dyDescent="0.3">
      <c r="B126" s="1845" t="s">
        <v>30</v>
      </c>
      <c r="C126" s="1767"/>
      <c r="D126" s="1766"/>
      <c r="E126" s="1766"/>
      <c r="F126" s="1766"/>
    </row>
    <row r="127" spans="2:6" ht="20.100000000000001" customHeight="1" thickBot="1" x14ac:dyDescent="0.3">
      <c r="B127" s="1845" t="s">
        <v>3</v>
      </c>
      <c r="C127" s="1767"/>
      <c r="D127" s="1766"/>
      <c r="E127" s="1766"/>
      <c r="F127" s="1766"/>
    </row>
    <row r="128" spans="2:6" ht="20.100000000000001" customHeight="1" thickBot="1" x14ac:dyDescent="0.3">
      <c r="B128" s="1849" t="s">
        <v>71</v>
      </c>
      <c r="C128" s="1767">
        <f>C127+C126+C125+C124+C123+C122+C121</f>
        <v>1000</v>
      </c>
      <c r="D128" s="1767">
        <f>D127+D126+D125+D124+D123+D122+D121</f>
        <v>1000</v>
      </c>
      <c r="E128" s="1767">
        <f>E127+E126+E125+E124+E123+E122+E121</f>
        <v>1000</v>
      </c>
      <c r="F128" s="1767">
        <f>F127+F126+F125+F124+F123+F122+F121</f>
        <v>1000</v>
      </c>
    </row>
    <row r="129" spans="2:6" ht="20.100000000000001" customHeight="1" thickBot="1" x14ac:dyDescent="0.3">
      <c r="B129" s="1846" t="s">
        <v>70</v>
      </c>
      <c r="C129" s="1850">
        <f>IF(C128-C113=0,0,"Error")</f>
        <v>0</v>
      </c>
      <c r="D129" s="1850">
        <f>IF(D128-D113=0,0,"Error")</f>
        <v>0</v>
      </c>
      <c r="E129" s="1850">
        <f>IF(E128-E113=0,0,"Error")</f>
        <v>0</v>
      </c>
      <c r="F129" s="1850">
        <f>IF(F128-F113=0,0,"Error")</f>
        <v>0</v>
      </c>
    </row>
    <row r="130" spans="2:6" ht="20.100000000000001" customHeight="1" thickBot="1" x14ac:dyDescent="0.3">
      <c r="B130" s="3073" t="s">
        <v>67</v>
      </c>
      <c r="C130" s="3074"/>
      <c r="D130" s="3074"/>
      <c r="E130" s="3074"/>
      <c r="F130" s="3075"/>
    </row>
    <row r="131" spans="2:6" ht="43.5" customHeight="1" thickBot="1" x14ac:dyDescent="0.3">
      <c r="B131" s="1851" t="s">
        <v>892</v>
      </c>
      <c r="C131" s="3109" t="s">
        <v>903</v>
      </c>
      <c r="D131" s="3110"/>
      <c r="E131" s="3110"/>
      <c r="F131" s="3111"/>
    </row>
    <row r="132" spans="2:6" ht="45" customHeight="1" thickBot="1" x14ac:dyDescent="0.3">
      <c r="B132" s="1852" t="s">
        <v>10</v>
      </c>
      <c r="C132" s="3107" t="s">
        <v>904</v>
      </c>
      <c r="D132" s="3107"/>
      <c r="E132" s="3107"/>
      <c r="F132" s="3107"/>
    </row>
    <row r="133" spans="2:6" ht="20.100000000000001" customHeight="1" thickBot="1" x14ac:dyDescent="0.3">
      <c r="B133" s="1852" t="s">
        <v>13</v>
      </c>
      <c r="C133" s="3108" t="s">
        <v>905</v>
      </c>
      <c r="D133" s="3108"/>
      <c r="E133" s="3108"/>
      <c r="F133" s="3108"/>
    </row>
    <row r="134" spans="2:6" ht="20.100000000000001" customHeight="1" x14ac:dyDescent="0.25">
      <c r="B134" s="3076"/>
      <c r="C134" s="1728">
        <v>2018</v>
      </c>
      <c r="D134" s="1728">
        <v>2019</v>
      </c>
      <c r="E134" s="1728">
        <v>2020</v>
      </c>
      <c r="F134" s="1728">
        <v>2021</v>
      </c>
    </row>
    <row r="135" spans="2:6" ht="20.100000000000001" customHeight="1" thickBot="1" x14ac:dyDescent="0.3">
      <c r="B135" s="3077"/>
      <c r="C135" s="1748" t="s">
        <v>6</v>
      </c>
      <c r="D135" s="1748" t="s">
        <v>7</v>
      </c>
      <c r="E135" s="1748" t="s">
        <v>7</v>
      </c>
      <c r="F135" s="1748" t="s">
        <v>7</v>
      </c>
    </row>
    <row r="136" spans="2:6" ht="20.100000000000001" customHeight="1" thickBot="1" x14ac:dyDescent="0.3">
      <c r="B136" s="1845" t="s">
        <v>9</v>
      </c>
      <c r="C136" s="1748">
        <v>10</v>
      </c>
      <c r="D136" s="1748">
        <v>12</v>
      </c>
      <c r="E136" s="1748">
        <v>12</v>
      </c>
      <c r="F136" s="1748">
        <v>12</v>
      </c>
    </row>
    <row r="137" spans="2:6" ht="20.100000000000001" customHeight="1" thickBot="1" x14ac:dyDescent="0.3">
      <c r="B137" s="1845" t="s">
        <v>14</v>
      </c>
      <c r="C137" s="1847">
        <v>5000</v>
      </c>
      <c r="D137" s="1847">
        <v>6200</v>
      </c>
      <c r="E137" s="1847">
        <v>6400</v>
      </c>
      <c r="F137" s="1847">
        <v>6600</v>
      </c>
    </row>
    <row r="138" spans="2:6" ht="20.100000000000001" customHeight="1" thickBot="1" x14ac:dyDescent="0.3">
      <c r="B138" s="1845" t="s">
        <v>23</v>
      </c>
      <c r="C138" s="1847">
        <f>C137/C136</f>
        <v>500</v>
      </c>
      <c r="D138" s="1847">
        <f>D137/D136</f>
        <v>516.66666666666663</v>
      </c>
      <c r="E138" s="1847">
        <f>E137/E136</f>
        <v>533.33333333333337</v>
      </c>
      <c r="F138" s="1847">
        <f>F137/F136</f>
        <v>550</v>
      </c>
    </row>
    <row r="139" spans="2:6" ht="20.100000000000001" customHeight="1" thickBot="1" x14ac:dyDescent="0.3">
      <c r="B139" s="1845" t="s">
        <v>15</v>
      </c>
      <c r="C139" s="1747"/>
      <c r="D139" s="1720">
        <f>D136/D136-1</f>
        <v>0</v>
      </c>
      <c r="E139" s="1720">
        <f>E136/E136-1</f>
        <v>0</v>
      </c>
      <c r="F139" s="1720">
        <f>F136/F136-1</f>
        <v>0</v>
      </c>
    </row>
    <row r="140" spans="2:6" ht="20.100000000000001" customHeight="1" thickBot="1" x14ac:dyDescent="0.3">
      <c r="B140" s="1845" t="s">
        <v>16</v>
      </c>
      <c r="C140" s="1747"/>
      <c r="D140" s="1720">
        <f t="shared" ref="D140:F141" si="4">D137/C137-1</f>
        <v>0.24</v>
      </c>
      <c r="E140" s="1720">
        <f t="shared" si="4"/>
        <v>3.2258064516129004E-2</v>
      </c>
      <c r="F140" s="1720">
        <f t="shared" si="4"/>
        <v>3.125E-2</v>
      </c>
    </row>
    <row r="141" spans="2:6" ht="20.100000000000001" customHeight="1" thickBot="1" x14ac:dyDescent="0.3">
      <c r="B141" s="1845" t="s">
        <v>17</v>
      </c>
      <c r="C141" s="1747"/>
      <c r="D141" s="1720">
        <f t="shared" si="4"/>
        <v>3.3333333333333215E-2</v>
      </c>
      <c r="E141" s="1720">
        <f t="shared" si="4"/>
        <v>3.2258064516129226E-2</v>
      </c>
      <c r="F141" s="1720">
        <f t="shared" si="4"/>
        <v>3.125E-2</v>
      </c>
    </row>
    <row r="142" spans="2:6" ht="20.100000000000001" customHeight="1" thickBot="1" x14ac:dyDescent="0.3">
      <c r="B142" s="3078" t="s">
        <v>1195</v>
      </c>
      <c r="C142" s="3079"/>
      <c r="D142" s="3079"/>
      <c r="E142" s="3079"/>
      <c r="F142" s="3080"/>
    </row>
    <row r="143" spans="2:6" ht="20.100000000000001" customHeight="1" x14ac:dyDescent="0.25">
      <c r="B143" s="3076"/>
      <c r="C143" s="1728">
        <v>2018</v>
      </c>
      <c r="D143" s="1728">
        <v>2019</v>
      </c>
      <c r="E143" s="1728">
        <v>2020</v>
      </c>
      <c r="F143" s="1728">
        <v>2021</v>
      </c>
    </row>
    <row r="144" spans="2:6" ht="20.100000000000001" customHeight="1" thickBot="1" x14ac:dyDescent="0.3">
      <c r="B144" s="3077"/>
      <c r="C144" s="1748" t="s">
        <v>6</v>
      </c>
      <c r="D144" s="1748" t="s">
        <v>7</v>
      </c>
      <c r="E144" s="1748" t="s">
        <v>7</v>
      </c>
      <c r="F144" s="1748" t="s">
        <v>7</v>
      </c>
    </row>
    <row r="145" spans="2:6" ht="20.100000000000001" customHeight="1" thickBot="1" x14ac:dyDescent="0.3">
      <c r="B145" s="1845" t="s">
        <v>0</v>
      </c>
      <c r="C145" s="1766"/>
      <c r="D145" s="1766"/>
      <c r="E145" s="1766"/>
      <c r="F145" s="1766"/>
    </row>
    <row r="146" spans="2:6" ht="20.100000000000001" customHeight="1" thickBot="1" x14ac:dyDescent="0.3">
      <c r="B146" s="1845" t="s">
        <v>49</v>
      </c>
      <c r="C146" s="1766"/>
      <c r="D146" s="1766"/>
      <c r="E146" s="1766"/>
      <c r="F146" s="1766"/>
    </row>
    <row r="147" spans="2:6" ht="20.100000000000001" customHeight="1" thickBot="1" x14ac:dyDescent="0.3">
      <c r="B147" s="1845" t="s">
        <v>1</v>
      </c>
      <c r="C147" s="1767"/>
      <c r="D147" s="1766"/>
      <c r="E147" s="1766"/>
      <c r="F147" s="1766"/>
    </row>
    <row r="148" spans="2:6" ht="20.100000000000001" customHeight="1" thickBot="1" x14ac:dyDescent="0.3">
      <c r="B148" s="1845" t="s">
        <v>2</v>
      </c>
      <c r="C148" s="1767"/>
      <c r="D148" s="1766"/>
      <c r="E148" s="1766"/>
      <c r="F148" s="1766"/>
    </row>
    <row r="149" spans="2:6" ht="20.100000000000001" customHeight="1" thickBot="1" x14ac:dyDescent="0.3">
      <c r="B149" s="1845" t="s">
        <v>28</v>
      </c>
      <c r="C149" s="1767">
        <f>C137</f>
        <v>5000</v>
      </c>
      <c r="D149" s="1766">
        <f>D137</f>
        <v>6200</v>
      </c>
      <c r="E149" s="1766">
        <f>E137</f>
        <v>6400</v>
      </c>
      <c r="F149" s="1766">
        <f>F137</f>
        <v>6600</v>
      </c>
    </row>
    <row r="150" spans="2:6" ht="20.100000000000001" customHeight="1" thickBot="1" x14ac:dyDescent="0.3">
      <c r="B150" s="1845" t="s">
        <v>30</v>
      </c>
      <c r="C150" s="1767"/>
      <c r="D150" s="1766"/>
      <c r="E150" s="1766"/>
      <c r="F150" s="1766"/>
    </row>
    <row r="151" spans="2:6" ht="20.100000000000001" customHeight="1" thickBot="1" x14ac:dyDescent="0.3">
      <c r="B151" s="1845" t="s">
        <v>3</v>
      </c>
      <c r="C151" s="1767"/>
      <c r="D151" s="1766"/>
      <c r="E151" s="1766"/>
      <c r="F151" s="1766"/>
    </row>
    <row r="152" spans="2:6" ht="20.100000000000001" customHeight="1" thickBot="1" x14ac:dyDescent="0.3">
      <c r="B152" s="1849" t="s">
        <v>71</v>
      </c>
      <c r="C152" s="1767">
        <f>C151+C150+C149+C148+C147+C146+C145</f>
        <v>5000</v>
      </c>
      <c r="D152" s="1767">
        <f>D151+D150+D149+D148+D147+D146+D145</f>
        <v>6200</v>
      </c>
      <c r="E152" s="1767">
        <f>E151+E150+E149+E148+E147+E146+E145</f>
        <v>6400</v>
      </c>
      <c r="F152" s="1767">
        <f>F151+F150+F149+F148+F147+F146+F145</f>
        <v>6600</v>
      </c>
    </row>
    <row r="153" spans="2:6" ht="20.100000000000001" customHeight="1" thickBot="1" x14ac:dyDescent="0.3">
      <c r="B153" s="1846" t="s">
        <v>70</v>
      </c>
      <c r="C153" s="1850">
        <f>IF(C152-C137=0,0,"Error")</f>
        <v>0</v>
      </c>
      <c r="D153" s="1850">
        <f>IF(D152-D137=0,0,"Error")</f>
        <v>0</v>
      </c>
      <c r="E153" s="1850">
        <f>IF(E152-E137=0,0,"Error")</f>
        <v>0</v>
      </c>
      <c r="F153" s="1850">
        <f>IF(F152-F137=0,0,"Error")</f>
        <v>0</v>
      </c>
    </row>
    <row r="154" spans="2:6" ht="20.100000000000001" customHeight="1" thickBot="1" x14ac:dyDescent="0.3">
      <c r="B154" s="3078" t="s">
        <v>67</v>
      </c>
      <c r="C154" s="3079"/>
      <c r="D154" s="3079"/>
      <c r="E154" s="3079"/>
      <c r="F154" s="3080"/>
    </row>
    <row r="155" spans="2:6" ht="20.100000000000001" customHeight="1" thickBot="1" x14ac:dyDescent="0.3">
      <c r="B155" s="3096" t="s">
        <v>99</v>
      </c>
      <c r="C155" s="3097"/>
      <c r="D155" s="3097"/>
      <c r="E155" s="3097"/>
      <c r="F155" s="3098"/>
    </row>
    <row r="156" spans="2:6" ht="20.100000000000001" customHeight="1" thickBot="1" x14ac:dyDescent="0.3">
      <c r="B156" s="1851" t="s">
        <v>896</v>
      </c>
      <c r="C156" s="3099" t="s">
        <v>906</v>
      </c>
      <c r="D156" s="3100"/>
      <c r="E156" s="3100"/>
      <c r="F156" s="3100"/>
    </row>
    <row r="157" spans="2:6" ht="20.100000000000001" customHeight="1" x14ac:dyDescent="0.25">
      <c r="B157" s="3101" t="s">
        <v>10</v>
      </c>
      <c r="C157" s="3103" t="s">
        <v>907</v>
      </c>
      <c r="D157" s="3103"/>
      <c r="E157" s="3103"/>
      <c r="F157" s="3103"/>
    </row>
    <row r="158" spans="2:6" ht="20.100000000000001" customHeight="1" x14ac:dyDescent="0.25">
      <c r="B158" s="3102"/>
      <c r="C158" s="3103"/>
      <c r="D158" s="3103"/>
      <c r="E158" s="3103"/>
      <c r="F158" s="3103"/>
    </row>
    <row r="159" spans="2:6" ht="20.100000000000001" customHeight="1" x14ac:dyDescent="0.25">
      <c r="B159" s="1856" t="s">
        <v>13</v>
      </c>
      <c r="C159" s="3104" t="s">
        <v>908</v>
      </c>
      <c r="D159" s="3105"/>
      <c r="E159" s="3105"/>
      <c r="F159" s="3106"/>
    </row>
    <row r="160" spans="2:6" ht="20.100000000000001" customHeight="1" x14ac:dyDescent="0.25">
      <c r="B160" s="3093"/>
      <c r="C160" s="1728">
        <v>2018</v>
      </c>
      <c r="D160" s="1728">
        <v>2019</v>
      </c>
      <c r="E160" s="1728">
        <v>2020</v>
      </c>
      <c r="F160" s="1728">
        <v>2021</v>
      </c>
    </row>
    <row r="161" spans="2:6" ht="20.100000000000001" customHeight="1" thickBot="1" x14ac:dyDescent="0.3">
      <c r="B161" s="3077"/>
      <c r="C161" s="1748" t="s">
        <v>6</v>
      </c>
      <c r="D161" s="1748" t="s">
        <v>7</v>
      </c>
      <c r="E161" s="1748" t="s">
        <v>7</v>
      </c>
      <c r="F161" s="1748" t="s">
        <v>7</v>
      </c>
    </row>
    <row r="162" spans="2:6" ht="20.100000000000001" customHeight="1" thickBot="1" x14ac:dyDescent="0.3">
      <c r="B162" s="1845" t="s">
        <v>9</v>
      </c>
      <c r="C162" s="1847">
        <v>20</v>
      </c>
      <c r="D162" s="1766">
        <v>22</v>
      </c>
      <c r="E162" s="1766">
        <v>24</v>
      </c>
      <c r="F162" s="1766">
        <v>25</v>
      </c>
    </row>
    <row r="163" spans="2:6" ht="20.100000000000001" customHeight="1" thickBot="1" x14ac:dyDescent="0.3">
      <c r="B163" s="1845" t="s">
        <v>14</v>
      </c>
      <c r="C163" s="1847">
        <v>12000</v>
      </c>
      <c r="D163" s="1847">
        <v>14000</v>
      </c>
      <c r="E163" s="1847">
        <v>16000</v>
      </c>
      <c r="F163" s="1847">
        <v>17000</v>
      </c>
    </row>
    <row r="164" spans="2:6" ht="20.100000000000001" customHeight="1" thickBot="1" x14ac:dyDescent="0.3">
      <c r="B164" s="1845" t="s">
        <v>23</v>
      </c>
      <c r="C164" s="1847">
        <f>C163/C162</f>
        <v>600</v>
      </c>
      <c r="D164" s="1847">
        <f>D163/D162</f>
        <v>636.36363636363637</v>
      </c>
      <c r="E164" s="1847">
        <f>E163/E162</f>
        <v>666.66666666666663</v>
      </c>
      <c r="F164" s="1847">
        <f>F163/F162</f>
        <v>680</v>
      </c>
    </row>
    <row r="165" spans="2:6" ht="20.100000000000001" customHeight="1" thickBot="1" x14ac:dyDescent="0.3">
      <c r="B165" s="1845" t="s">
        <v>15</v>
      </c>
      <c r="C165" s="1747"/>
      <c r="D165" s="1720">
        <f>D162/C162-1</f>
        <v>0.10000000000000009</v>
      </c>
      <c r="E165" s="1720">
        <f t="shared" ref="E165:F167" si="5">E162/D162-1</f>
        <v>9.0909090909090828E-2</v>
      </c>
      <c r="F165" s="1720">
        <f t="shared" si="5"/>
        <v>4.1666666666666741E-2</v>
      </c>
    </row>
    <row r="166" spans="2:6" ht="20.100000000000001" customHeight="1" thickBot="1" x14ac:dyDescent="0.3">
      <c r="B166" s="1845" t="s">
        <v>16</v>
      </c>
      <c r="C166" s="1747"/>
      <c r="D166" s="1720">
        <f>D163/C163-1</f>
        <v>0.16666666666666674</v>
      </c>
      <c r="E166" s="1720">
        <f t="shared" si="5"/>
        <v>0.14285714285714279</v>
      </c>
      <c r="F166" s="1720">
        <f t="shared" si="5"/>
        <v>6.25E-2</v>
      </c>
    </row>
    <row r="167" spans="2:6" ht="20.100000000000001" customHeight="1" thickBot="1" x14ac:dyDescent="0.3">
      <c r="B167" s="1845" t="s">
        <v>17</v>
      </c>
      <c r="C167" s="1747"/>
      <c r="D167" s="1720">
        <f>D164/C164-1</f>
        <v>6.0606060606060552E-2</v>
      </c>
      <c r="E167" s="1720">
        <f t="shared" si="5"/>
        <v>4.761904761904745E-2</v>
      </c>
      <c r="F167" s="1720">
        <f t="shared" si="5"/>
        <v>2.0000000000000018E-2</v>
      </c>
    </row>
    <row r="168" spans="2:6" ht="20.100000000000001" customHeight="1" thickBot="1" x14ac:dyDescent="0.3">
      <c r="B168" s="3078" t="s">
        <v>1195</v>
      </c>
      <c r="C168" s="3079"/>
      <c r="D168" s="3079"/>
      <c r="E168" s="3079"/>
      <c r="F168" s="3080"/>
    </row>
    <row r="169" spans="2:6" ht="20.100000000000001" customHeight="1" x14ac:dyDescent="0.25">
      <c r="B169" s="3076"/>
      <c r="C169" s="1728">
        <v>2018</v>
      </c>
      <c r="D169" s="1728">
        <v>2019</v>
      </c>
      <c r="E169" s="1728">
        <v>2020</v>
      </c>
      <c r="F169" s="1728">
        <v>2021</v>
      </c>
    </row>
    <row r="170" spans="2:6" ht="20.100000000000001" customHeight="1" thickBot="1" x14ac:dyDescent="0.3">
      <c r="B170" s="3077"/>
      <c r="C170" s="1748" t="s">
        <v>6</v>
      </c>
      <c r="D170" s="1748" t="s">
        <v>7</v>
      </c>
      <c r="E170" s="1748" t="s">
        <v>7</v>
      </c>
      <c r="F170" s="1748" t="s">
        <v>7</v>
      </c>
    </row>
    <row r="171" spans="2:6" ht="20.100000000000001" customHeight="1" thickBot="1" x14ac:dyDescent="0.3">
      <c r="B171" s="1845" t="s">
        <v>0</v>
      </c>
      <c r="C171" s="1766"/>
      <c r="D171" s="1766"/>
      <c r="E171" s="1766"/>
      <c r="F171" s="1766"/>
    </row>
    <row r="172" spans="2:6" ht="20.100000000000001" customHeight="1" thickBot="1" x14ac:dyDescent="0.3">
      <c r="B172" s="1845" t="s">
        <v>49</v>
      </c>
      <c r="C172" s="1766"/>
      <c r="D172" s="1766"/>
      <c r="E172" s="1766"/>
      <c r="F172" s="1766"/>
    </row>
    <row r="173" spans="2:6" ht="20.100000000000001" customHeight="1" thickBot="1" x14ac:dyDescent="0.3">
      <c r="B173" s="1845" t="s">
        <v>1</v>
      </c>
      <c r="C173" s="1767"/>
      <c r="D173" s="1766"/>
      <c r="E173" s="1766"/>
      <c r="F173" s="1766"/>
    </row>
    <row r="174" spans="2:6" ht="20.100000000000001" customHeight="1" thickBot="1" x14ac:dyDescent="0.3">
      <c r="B174" s="1845" t="s">
        <v>2</v>
      </c>
      <c r="C174" s="1767"/>
      <c r="D174" s="1766"/>
      <c r="E174" s="1766"/>
      <c r="F174" s="1766"/>
    </row>
    <row r="175" spans="2:6" ht="20.100000000000001" customHeight="1" thickBot="1" x14ac:dyDescent="0.3">
      <c r="B175" s="1845" t="s">
        <v>28</v>
      </c>
      <c r="C175" s="1767">
        <f>C163</f>
        <v>12000</v>
      </c>
      <c r="D175" s="1766">
        <f>D163</f>
        <v>14000</v>
      </c>
      <c r="E175" s="1766">
        <f>E163</f>
        <v>16000</v>
      </c>
      <c r="F175" s="1766">
        <f>F163</f>
        <v>17000</v>
      </c>
    </row>
    <row r="176" spans="2:6" ht="20.100000000000001" customHeight="1" thickBot="1" x14ac:dyDescent="0.3">
      <c r="B176" s="1845" t="s">
        <v>30</v>
      </c>
      <c r="C176" s="1767"/>
      <c r="D176" s="1766"/>
      <c r="E176" s="1766"/>
      <c r="F176" s="1766"/>
    </row>
    <row r="177" spans="2:6" ht="20.100000000000001" customHeight="1" thickBot="1" x14ac:dyDescent="0.3">
      <c r="B177" s="1845" t="s">
        <v>3</v>
      </c>
      <c r="C177" s="1767"/>
      <c r="D177" s="1766"/>
      <c r="E177" s="1766"/>
      <c r="F177" s="1766"/>
    </row>
    <row r="178" spans="2:6" ht="20.100000000000001" customHeight="1" thickBot="1" x14ac:dyDescent="0.3">
      <c r="B178" s="1849" t="s">
        <v>71</v>
      </c>
      <c r="C178" s="1767">
        <f>C177+C176+C175+C174+C173+C172+C171</f>
        <v>12000</v>
      </c>
      <c r="D178" s="1767">
        <f>D177+D176+D175+D174+D173+D172+D171</f>
        <v>14000</v>
      </c>
      <c r="E178" s="1767">
        <f>E177+E176+E175+E174+E173+E172+E171</f>
        <v>16000</v>
      </c>
      <c r="F178" s="1767">
        <f>F177+F176+F175+F174+F173+F172+F171</f>
        <v>17000</v>
      </c>
    </row>
    <row r="179" spans="2:6" ht="20.100000000000001" customHeight="1" thickBot="1" x14ac:dyDescent="0.3">
      <c r="B179" s="1846" t="s">
        <v>70</v>
      </c>
      <c r="C179" s="1850">
        <f>IF(C178-C163=0,0,"Error")</f>
        <v>0</v>
      </c>
      <c r="D179" s="1850">
        <f>IF(D178-D163=0,0,"Error")</f>
        <v>0</v>
      </c>
      <c r="E179" s="1850">
        <f>IF(E178-E163=0,0,"Error")</f>
        <v>0</v>
      </c>
      <c r="F179" s="1850">
        <f>IF(F178-F163=0,0,"Error")</f>
        <v>0</v>
      </c>
    </row>
    <row r="180" spans="2:6" ht="20.100000000000001" customHeight="1" thickBot="1" x14ac:dyDescent="0.3">
      <c r="B180" s="3073" t="s">
        <v>536</v>
      </c>
      <c r="C180" s="3074"/>
      <c r="D180" s="3074"/>
      <c r="E180" s="3074"/>
      <c r="F180" s="3075"/>
    </row>
    <row r="181" spans="2:6" ht="57" customHeight="1" thickBot="1" x14ac:dyDescent="0.3">
      <c r="B181" s="1846" t="s">
        <v>909</v>
      </c>
      <c r="C181" s="3094" t="s">
        <v>910</v>
      </c>
      <c r="D181" s="3095"/>
      <c r="E181" s="3095"/>
      <c r="F181" s="3095"/>
    </row>
    <row r="182" spans="2:6" ht="49.5" customHeight="1" thickBot="1" x14ac:dyDescent="0.3">
      <c r="B182" s="1845" t="s">
        <v>10</v>
      </c>
      <c r="C182" s="2608" t="s">
        <v>911</v>
      </c>
      <c r="D182" s="2609"/>
      <c r="E182" s="2609"/>
      <c r="F182" s="2610"/>
    </row>
    <row r="183" spans="2:6" ht="20.100000000000001" customHeight="1" thickBot="1" x14ac:dyDescent="0.3">
      <c r="B183" s="1845" t="s">
        <v>13</v>
      </c>
      <c r="C183" s="3086" t="s">
        <v>912</v>
      </c>
      <c r="D183" s="3087"/>
      <c r="E183" s="3087"/>
      <c r="F183" s="3088"/>
    </row>
    <row r="184" spans="2:6" ht="20.100000000000001" customHeight="1" x14ac:dyDescent="0.25">
      <c r="B184" s="3076"/>
      <c r="C184" s="1728">
        <v>2018</v>
      </c>
      <c r="D184" s="1728">
        <v>2019</v>
      </c>
      <c r="E184" s="1728">
        <v>2020</v>
      </c>
      <c r="F184" s="1728">
        <v>2021</v>
      </c>
    </row>
    <row r="185" spans="2:6" ht="20.100000000000001" customHeight="1" thickBot="1" x14ac:dyDescent="0.3">
      <c r="B185" s="3077"/>
      <c r="C185" s="1748" t="s">
        <v>6</v>
      </c>
      <c r="D185" s="1748" t="s">
        <v>7</v>
      </c>
      <c r="E185" s="1748" t="s">
        <v>7</v>
      </c>
      <c r="F185" s="1748" t="s">
        <v>7</v>
      </c>
    </row>
    <row r="186" spans="2:6" ht="20.100000000000001" customHeight="1" thickBot="1" x14ac:dyDescent="0.3">
      <c r="B186" s="1845" t="s">
        <v>9</v>
      </c>
      <c r="C186" s="1748">
        <v>30</v>
      </c>
      <c r="D186" s="1748">
        <v>30</v>
      </c>
      <c r="E186" s="1748">
        <v>30</v>
      </c>
      <c r="F186" s="1748">
        <v>30</v>
      </c>
    </row>
    <row r="187" spans="2:6" ht="20.100000000000001" customHeight="1" thickBot="1" x14ac:dyDescent="0.3">
      <c r="B187" s="1845" t="s">
        <v>14</v>
      </c>
      <c r="C187" s="1847">
        <v>51200</v>
      </c>
      <c r="D187" s="1847">
        <v>61200</v>
      </c>
      <c r="E187" s="1847">
        <v>73900</v>
      </c>
      <c r="F187" s="1847">
        <v>74400</v>
      </c>
    </row>
    <row r="188" spans="2:6" ht="20.100000000000001" customHeight="1" thickBot="1" x14ac:dyDescent="0.3">
      <c r="B188" s="1845" t="s">
        <v>23</v>
      </c>
      <c r="C188" s="1847">
        <f>C187/C186</f>
        <v>1706.6666666666667</v>
      </c>
      <c r="D188" s="1847">
        <f>D187/D186</f>
        <v>2040</v>
      </c>
      <c r="E188" s="1847">
        <f>E187/E186</f>
        <v>2463.3333333333335</v>
      </c>
      <c r="F188" s="1847">
        <f>F187/F186</f>
        <v>2480</v>
      </c>
    </row>
    <row r="189" spans="2:6" ht="20.100000000000001" customHeight="1" thickBot="1" x14ac:dyDescent="0.3">
      <c r="B189" s="1845" t="s">
        <v>15</v>
      </c>
      <c r="C189" s="1747"/>
      <c r="D189" s="1720">
        <f>D186/C186-1</f>
        <v>0</v>
      </c>
      <c r="E189" s="1720">
        <f>E186/D186-1</f>
        <v>0</v>
      </c>
      <c r="F189" s="1720">
        <f>F186/E186-1</f>
        <v>0</v>
      </c>
    </row>
    <row r="190" spans="2:6" ht="20.100000000000001" customHeight="1" thickBot="1" x14ac:dyDescent="0.3">
      <c r="B190" s="1845" t="s">
        <v>16</v>
      </c>
      <c r="C190" s="1747"/>
      <c r="D190" s="1720">
        <f t="shared" ref="D190:F191" si="6">D187/C187-1</f>
        <v>0.1953125</v>
      </c>
      <c r="E190" s="1720">
        <f t="shared" si="6"/>
        <v>0.20751633986928097</v>
      </c>
      <c r="F190" s="1720">
        <f t="shared" si="6"/>
        <v>6.7658998646820123E-3</v>
      </c>
    </row>
    <row r="191" spans="2:6" ht="20.100000000000001" customHeight="1" thickBot="1" x14ac:dyDescent="0.3">
      <c r="B191" s="1845" t="s">
        <v>17</v>
      </c>
      <c r="C191" s="1747"/>
      <c r="D191" s="1720">
        <f t="shared" si="6"/>
        <v>0.1953125</v>
      </c>
      <c r="E191" s="1720">
        <f t="shared" si="6"/>
        <v>0.2075163398692812</v>
      </c>
      <c r="F191" s="1720">
        <f t="shared" si="6"/>
        <v>6.7658998646820123E-3</v>
      </c>
    </row>
    <row r="192" spans="2:6" ht="20.100000000000001" customHeight="1" thickBot="1" x14ac:dyDescent="0.3">
      <c r="B192" s="3078" t="s">
        <v>1195</v>
      </c>
      <c r="C192" s="3079"/>
      <c r="D192" s="3079"/>
      <c r="E192" s="3079"/>
      <c r="F192" s="3080"/>
    </row>
    <row r="193" spans="2:6" ht="20.100000000000001" customHeight="1" x14ac:dyDescent="0.25">
      <c r="B193" s="3076"/>
      <c r="C193" s="1728">
        <v>2018</v>
      </c>
      <c r="D193" s="1728">
        <v>2019</v>
      </c>
      <c r="E193" s="1728">
        <v>2020</v>
      </c>
      <c r="F193" s="1728">
        <v>2021</v>
      </c>
    </row>
    <row r="194" spans="2:6" ht="20.100000000000001" customHeight="1" thickBot="1" x14ac:dyDescent="0.3">
      <c r="B194" s="3077"/>
      <c r="C194" s="1748" t="s">
        <v>6</v>
      </c>
      <c r="D194" s="1748" t="s">
        <v>7</v>
      </c>
      <c r="E194" s="1748" t="s">
        <v>7</v>
      </c>
      <c r="F194" s="1748" t="s">
        <v>7</v>
      </c>
    </row>
    <row r="195" spans="2:6" ht="20.100000000000001" customHeight="1" thickBot="1" x14ac:dyDescent="0.3">
      <c r="B195" s="1845" t="s">
        <v>0</v>
      </c>
      <c r="C195" s="1766">
        <v>27000</v>
      </c>
      <c r="D195" s="1766">
        <v>27000</v>
      </c>
      <c r="E195" s="1766">
        <v>27000</v>
      </c>
      <c r="F195" s="1766">
        <v>27000</v>
      </c>
    </row>
    <row r="196" spans="2:6" ht="20.100000000000001" customHeight="1" thickBot="1" x14ac:dyDescent="0.3">
      <c r="B196" s="1845" t="s">
        <v>49</v>
      </c>
      <c r="C196" s="1766">
        <v>5000</v>
      </c>
      <c r="D196" s="1766">
        <v>5000</v>
      </c>
      <c r="E196" s="1766">
        <v>5000</v>
      </c>
      <c r="F196" s="1766">
        <v>5000</v>
      </c>
    </row>
    <row r="197" spans="2:6" ht="20.100000000000001" customHeight="1" thickBot="1" x14ac:dyDescent="0.3">
      <c r="B197" s="1845" t="s">
        <v>1</v>
      </c>
      <c r="C197" s="1767">
        <v>14000</v>
      </c>
      <c r="D197" s="1767">
        <v>24000</v>
      </c>
      <c r="E197" s="1767">
        <v>24000</v>
      </c>
      <c r="F197" s="1767">
        <v>24000</v>
      </c>
    </row>
    <row r="198" spans="2:6" ht="20.100000000000001" customHeight="1" thickBot="1" x14ac:dyDescent="0.3">
      <c r="B198" s="1845" t="s">
        <v>2</v>
      </c>
      <c r="C198" s="1767"/>
      <c r="D198" s="1766"/>
      <c r="E198" s="1766"/>
      <c r="F198" s="1766"/>
    </row>
    <row r="199" spans="2:6" ht="20.100000000000001" customHeight="1" thickBot="1" x14ac:dyDescent="0.3">
      <c r="B199" s="1845" t="s">
        <v>28</v>
      </c>
      <c r="C199" s="1767">
        <v>0</v>
      </c>
      <c r="D199" s="1766">
        <v>0</v>
      </c>
      <c r="E199" s="1766">
        <v>12700</v>
      </c>
      <c r="F199" s="1766">
        <v>13200</v>
      </c>
    </row>
    <row r="200" spans="2:6" ht="20.100000000000001" customHeight="1" thickBot="1" x14ac:dyDescent="0.3">
      <c r="B200" s="1845" t="s">
        <v>30</v>
      </c>
      <c r="C200" s="1767">
        <v>5200</v>
      </c>
      <c r="D200" s="1767">
        <v>5200</v>
      </c>
      <c r="E200" s="1767">
        <v>5200</v>
      </c>
      <c r="F200" s="1767">
        <v>5200</v>
      </c>
    </row>
    <row r="201" spans="2:6" ht="20.100000000000001" customHeight="1" thickBot="1" x14ac:dyDescent="0.3">
      <c r="B201" s="1845" t="s">
        <v>3</v>
      </c>
      <c r="C201" s="1767"/>
      <c r="D201" s="1766"/>
      <c r="E201" s="1766"/>
      <c r="F201" s="1766"/>
    </row>
    <row r="202" spans="2:6" ht="20.100000000000001" customHeight="1" thickBot="1" x14ac:dyDescent="0.3">
      <c r="B202" s="1849" t="s">
        <v>71</v>
      </c>
      <c r="C202" s="1767">
        <f>C201+C200+C199+C198+C197+C196+C195</f>
        <v>51200</v>
      </c>
      <c r="D202" s="1767">
        <f>D201+D200+D199+D198+D197+D196+D195</f>
        <v>61200</v>
      </c>
      <c r="E202" s="1767">
        <f>E201+E200+E199+E198+E197+E196+E195</f>
        <v>73900</v>
      </c>
      <c r="F202" s="1767">
        <f>F201+F200+F199+F198+F197+F196+F195</f>
        <v>74400</v>
      </c>
    </row>
    <row r="203" spans="2:6" ht="20.100000000000001" customHeight="1" thickBot="1" x14ac:dyDescent="0.3">
      <c r="B203" s="1846" t="s">
        <v>70</v>
      </c>
      <c r="C203" s="1753">
        <f>C187-C202</f>
        <v>0</v>
      </c>
      <c r="D203" s="1753">
        <f>D187-D202</f>
        <v>0</v>
      </c>
      <c r="E203" s="1753">
        <f>E187-E202</f>
        <v>0</v>
      </c>
      <c r="F203" s="1753">
        <f>F187-F202</f>
        <v>0</v>
      </c>
    </row>
    <row r="204" spans="2:6" ht="20.100000000000001" customHeight="1" x14ac:dyDescent="0.25">
      <c r="B204" s="3089" t="s">
        <v>536</v>
      </c>
      <c r="C204" s="3090"/>
      <c r="D204" s="3090"/>
      <c r="E204" s="3090"/>
      <c r="F204" s="3091"/>
    </row>
    <row r="205" spans="2:6" ht="72" customHeight="1" x14ac:dyDescent="0.25">
      <c r="B205" s="1857" t="s">
        <v>45</v>
      </c>
      <c r="C205" s="3092" t="s">
        <v>913</v>
      </c>
      <c r="D205" s="3092"/>
      <c r="E205" s="3092"/>
      <c r="F205" s="3092"/>
    </row>
    <row r="206" spans="2:6" ht="20.100000000000001" customHeight="1" x14ac:dyDescent="0.25">
      <c r="B206" s="3081" t="s">
        <v>10</v>
      </c>
      <c r="C206" s="3082" t="s">
        <v>914</v>
      </c>
      <c r="D206" s="3082"/>
      <c r="E206" s="3082"/>
      <c r="F206" s="3082"/>
    </row>
    <row r="207" spans="2:6" ht="40.5" customHeight="1" x14ac:dyDescent="0.25">
      <c r="B207" s="3081"/>
      <c r="C207" s="3082"/>
      <c r="D207" s="3082"/>
      <c r="E207" s="3082"/>
      <c r="F207" s="3082"/>
    </row>
    <row r="208" spans="2:6" ht="20.100000000000001" customHeight="1" x14ac:dyDescent="0.25">
      <c r="B208" s="1856" t="s">
        <v>13</v>
      </c>
      <c r="C208" s="3083" t="s">
        <v>915</v>
      </c>
      <c r="D208" s="3083"/>
      <c r="E208" s="3083"/>
      <c r="F208" s="3083"/>
    </row>
    <row r="209" spans="2:6" ht="20.100000000000001" customHeight="1" x14ac:dyDescent="0.25">
      <c r="B209" s="3084"/>
      <c r="C209" s="1858">
        <v>2018</v>
      </c>
      <c r="D209" s="1858">
        <v>2019</v>
      </c>
      <c r="E209" s="1858">
        <v>2020</v>
      </c>
      <c r="F209" s="1858">
        <v>2021</v>
      </c>
    </row>
    <row r="210" spans="2:6" ht="20.100000000000001" customHeight="1" thickBot="1" x14ac:dyDescent="0.3">
      <c r="B210" s="3085"/>
      <c r="C210" s="1771" t="s">
        <v>6</v>
      </c>
      <c r="D210" s="1771" t="s">
        <v>7</v>
      </c>
      <c r="E210" s="1771" t="s">
        <v>7</v>
      </c>
      <c r="F210" s="1771" t="s">
        <v>7</v>
      </c>
    </row>
    <row r="211" spans="2:6" ht="20.100000000000001" customHeight="1" thickBot="1" x14ac:dyDescent="0.3">
      <c r="B211" s="1845" t="s">
        <v>9</v>
      </c>
      <c r="C211" s="1748">
        <v>732</v>
      </c>
      <c r="D211" s="1748">
        <v>732</v>
      </c>
      <c r="E211" s="1748">
        <v>732</v>
      </c>
      <c r="F211" s="1748">
        <v>732</v>
      </c>
    </row>
    <row r="212" spans="2:6" ht="20.100000000000001" customHeight="1" thickBot="1" x14ac:dyDescent="0.3">
      <c r="B212" s="1845" t="s">
        <v>14</v>
      </c>
      <c r="C212" s="1847">
        <v>5500</v>
      </c>
      <c r="D212" s="1847">
        <v>5800</v>
      </c>
      <c r="E212" s="1847">
        <v>5900</v>
      </c>
      <c r="F212" s="1847">
        <v>6200</v>
      </c>
    </row>
    <row r="213" spans="2:6" ht="20.100000000000001" customHeight="1" thickBot="1" x14ac:dyDescent="0.3">
      <c r="B213" s="1845" t="s">
        <v>23</v>
      </c>
      <c r="C213" s="1847">
        <f>C212/C211</f>
        <v>7.5136612021857925</v>
      </c>
      <c r="D213" s="1847">
        <f>D212/D211</f>
        <v>7.9234972677595632</v>
      </c>
      <c r="E213" s="1847">
        <f>E212/E211</f>
        <v>8.0601092896174862</v>
      </c>
      <c r="F213" s="1847">
        <f>F212/F211</f>
        <v>8.4699453551912569</v>
      </c>
    </row>
    <row r="214" spans="2:6" ht="20.100000000000001" customHeight="1" thickBot="1" x14ac:dyDescent="0.3">
      <c r="B214" s="1845" t="s">
        <v>15</v>
      </c>
      <c r="C214" s="1747"/>
      <c r="D214" s="1720">
        <f>D211/D211-1</f>
        <v>0</v>
      </c>
      <c r="E214" s="1720">
        <f>E211/E211-1</f>
        <v>0</v>
      </c>
      <c r="F214" s="1720">
        <f>F211/F211-1</f>
        <v>0</v>
      </c>
    </row>
    <row r="215" spans="2:6" ht="20.100000000000001" customHeight="1" thickBot="1" x14ac:dyDescent="0.3">
      <c r="B215" s="1845" t="s">
        <v>16</v>
      </c>
      <c r="C215" s="1747"/>
      <c r="D215" s="1720">
        <f t="shared" ref="D215:F216" si="7">D212/C212-1</f>
        <v>5.4545454545454453E-2</v>
      </c>
      <c r="E215" s="1720">
        <f t="shared" si="7"/>
        <v>1.7241379310344751E-2</v>
      </c>
      <c r="F215" s="1720">
        <f t="shared" si="7"/>
        <v>5.0847457627118731E-2</v>
      </c>
    </row>
    <row r="216" spans="2:6" ht="20.100000000000001" customHeight="1" thickBot="1" x14ac:dyDescent="0.3">
      <c r="B216" s="1845" t="s">
        <v>17</v>
      </c>
      <c r="C216" s="1747"/>
      <c r="D216" s="1720">
        <f t="shared" si="7"/>
        <v>5.4545454545454675E-2</v>
      </c>
      <c r="E216" s="1720">
        <f t="shared" si="7"/>
        <v>1.7241379310344751E-2</v>
      </c>
      <c r="F216" s="1720">
        <f t="shared" si="7"/>
        <v>5.0847457627118731E-2</v>
      </c>
    </row>
    <row r="217" spans="2:6" ht="20.100000000000001" customHeight="1" thickBot="1" x14ac:dyDescent="0.3">
      <c r="B217" s="3078" t="s">
        <v>1195</v>
      </c>
      <c r="C217" s="3079"/>
      <c r="D217" s="3079"/>
      <c r="E217" s="3079"/>
      <c r="F217" s="3080"/>
    </row>
    <row r="218" spans="2:6" ht="20.100000000000001" customHeight="1" x14ac:dyDescent="0.25">
      <c r="B218" s="3076"/>
      <c r="C218" s="1728">
        <v>2018</v>
      </c>
      <c r="D218" s="1728">
        <v>2019</v>
      </c>
      <c r="E218" s="1728">
        <v>2020</v>
      </c>
      <c r="F218" s="1728">
        <v>2021</v>
      </c>
    </row>
    <row r="219" spans="2:6" ht="20.100000000000001" customHeight="1" thickBot="1" x14ac:dyDescent="0.3">
      <c r="B219" s="3077"/>
      <c r="C219" s="1748" t="s">
        <v>6</v>
      </c>
      <c r="D219" s="1748" t="s">
        <v>7</v>
      </c>
      <c r="E219" s="1748" t="s">
        <v>7</v>
      </c>
      <c r="F219" s="1748" t="s">
        <v>7</v>
      </c>
    </row>
    <row r="220" spans="2:6" ht="20.100000000000001" customHeight="1" thickBot="1" x14ac:dyDescent="0.3">
      <c r="B220" s="1845" t="s">
        <v>0</v>
      </c>
      <c r="C220" s="1766"/>
      <c r="D220" s="1766"/>
      <c r="E220" s="1766"/>
      <c r="F220" s="1766"/>
    </row>
    <row r="221" spans="2:6" ht="20.100000000000001" customHeight="1" thickBot="1" x14ac:dyDescent="0.3">
      <c r="B221" s="1845" t="s">
        <v>49</v>
      </c>
      <c r="C221" s="1766"/>
      <c r="D221" s="1766"/>
      <c r="E221" s="1766"/>
      <c r="F221" s="1766"/>
    </row>
    <row r="222" spans="2:6" ht="20.100000000000001" customHeight="1" thickBot="1" x14ac:dyDescent="0.3">
      <c r="B222" s="1845" t="s">
        <v>1</v>
      </c>
      <c r="C222" s="1767"/>
      <c r="D222" s="1766"/>
      <c r="E222" s="1766"/>
      <c r="F222" s="1766"/>
    </row>
    <row r="223" spans="2:6" ht="20.100000000000001" customHeight="1" thickBot="1" x14ac:dyDescent="0.3">
      <c r="B223" s="1845" t="s">
        <v>2</v>
      </c>
      <c r="C223" s="1767"/>
      <c r="D223" s="1766"/>
      <c r="E223" s="1766"/>
      <c r="F223" s="1766"/>
    </row>
    <row r="224" spans="2:6" ht="20.100000000000001" customHeight="1" thickBot="1" x14ac:dyDescent="0.3">
      <c r="B224" s="1845" t="s">
        <v>28</v>
      </c>
      <c r="C224" s="1767">
        <f>C212</f>
        <v>5500</v>
      </c>
      <c r="D224" s="1766">
        <f>D212</f>
        <v>5800</v>
      </c>
      <c r="E224" s="1766">
        <f>E212</f>
        <v>5900</v>
      </c>
      <c r="F224" s="1766">
        <f>F212</f>
        <v>6200</v>
      </c>
    </row>
    <row r="225" spans="2:6" ht="20.100000000000001" customHeight="1" thickBot="1" x14ac:dyDescent="0.3">
      <c r="B225" s="1845" t="s">
        <v>30</v>
      </c>
      <c r="C225" s="1767"/>
      <c r="D225" s="1766"/>
      <c r="E225" s="1766"/>
      <c r="F225" s="1766"/>
    </row>
    <row r="226" spans="2:6" ht="20.100000000000001" customHeight="1" thickBot="1" x14ac:dyDescent="0.3">
      <c r="B226" s="1845" t="s">
        <v>3</v>
      </c>
      <c r="C226" s="1767"/>
      <c r="D226" s="1766"/>
      <c r="E226" s="1766"/>
      <c r="F226" s="1766"/>
    </row>
    <row r="227" spans="2:6" ht="20.100000000000001" customHeight="1" thickBot="1" x14ac:dyDescent="0.3">
      <c r="B227" s="1849" t="s">
        <v>71</v>
      </c>
      <c r="C227" s="1767">
        <f>C226+C225+C224+C223+C222+C221+C220</f>
        <v>5500</v>
      </c>
      <c r="D227" s="1767">
        <f>D226+D225+D224+D223+D222+D221+D220</f>
        <v>5800</v>
      </c>
      <c r="E227" s="1767">
        <f>E226+E225+E224+E223+E222+E221+E220</f>
        <v>5900</v>
      </c>
      <c r="F227" s="1767">
        <f>F226+F225+F224+F223+F222+F221+F220</f>
        <v>6200</v>
      </c>
    </row>
    <row r="228" spans="2:6" ht="20.100000000000001" customHeight="1" thickBot="1" x14ac:dyDescent="0.3">
      <c r="B228" s="1846" t="s">
        <v>70</v>
      </c>
      <c r="C228" s="1753">
        <f>IF(C227-C212=0,0,"Error")</f>
        <v>0</v>
      </c>
      <c r="D228" s="1753">
        <f>IF(D227-D212=0,0,"Error")</f>
        <v>0</v>
      </c>
      <c r="E228" s="1753">
        <f>IF(E227-E212=0,0,"Error")</f>
        <v>0</v>
      </c>
      <c r="F228" s="1753">
        <f>IF(F227-F212=0,0,"Error")</f>
        <v>0</v>
      </c>
    </row>
    <row r="229" spans="2:6" ht="20.100000000000001" customHeight="1" thickBot="1" x14ac:dyDescent="0.3">
      <c r="B229" s="3073" t="s">
        <v>535</v>
      </c>
      <c r="C229" s="3074"/>
      <c r="D229" s="3074"/>
      <c r="E229" s="3074"/>
      <c r="F229" s="3075"/>
    </row>
    <row r="230" spans="2:6" ht="20.100000000000001" customHeight="1" thickBot="1" x14ac:dyDescent="0.3">
      <c r="B230" s="3073" t="s">
        <v>121</v>
      </c>
      <c r="C230" s="3074"/>
      <c r="D230" s="3074"/>
      <c r="E230" s="3074"/>
      <c r="F230" s="3075"/>
    </row>
    <row r="231" spans="2:6" ht="20.100000000000001" customHeight="1" thickBot="1" x14ac:dyDescent="0.3">
      <c r="B231" s="1846" t="s">
        <v>45</v>
      </c>
      <c r="C231" s="2596" t="s">
        <v>916</v>
      </c>
      <c r="D231" s="2597"/>
      <c r="E231" s="2597"/>
      <c r="F231" s="2598"/>
    </row>
    <row r="232" spans="2:6" ht="49.5" customHeight="1" thickBot="1" x14ac:dyDescent="0.3">
      <c r="B232" s="1845" t="s">
        <v>10</v>
      </c>
      <c r="C232" s="2608" t="s">
        <v>917</v>
      </c>
      <c r="D232" s="2609"/>
      <c r="E232" s="2609"/>
      <c r="F232" s="2610"/>
    </row>
    <row r="233" spans="2:6" ht="20.100000000000001" customHeight="1" thickBot="1" x14ac:dyDescent="0.3">
      <c r="B233" s="1845" t="s">
        <v>13</v>
      </c>
      <c r="C233" s="2593" t="s">
        <v>918</v>
      </c>
      <c r="D233" s="2594"/>
      <c r="E233" s="2594"/>
      <c r="F233" s="2595"/>
    </row>
    <row r="234" spans="2:6" ht="20.100000000000001" customHeight="1" x14ac:dyDescent="0.25">
      <c r="B234" s="3076"/>
      <c r="C234" s="1728">
        <v>2018</v>
      </c>
      <c r="D234" s="1728">
        <v>2019</v>
      </c>
      <c r="E234" s="1728">
        <v>2020</v>
      </c>
      <c r="F234" s="1728">
        <v>2021</v>
      </c>
    </row>
    <row r="235" spans="2:6" ht="20.100000000000001" customHeight="1" thickBot="1" x14ac:dyDescent="0.3">
      <c r="B235" s="3077"/>
      <c r="C235" s="1748" t="s">
        <v>6</v>
      </c>
      <c r="D235" s="1748" t="s">
        <v>7</v>
      </c>
      <c r="E235" s="1748" t="s">
        <v>7</v>
      </c>
      <c r="F235" s="1748" t="s">
        <v>7</v>
      </c>
    </row>
    <row r="236" spans="2:6" ht="20.100000000000001" customHeight="1" thickBot="1" x14ac:dyDescent="0.3">
      <c r="B236" s="1845" t="s">
        <v>9</v>
      </c>
      <c r="C236" s="1847">
        <v>600</v>
      </c>
      <c r="D236" s="1847">
        <v>700</v>
      </c>
      <c r="E236" s="1847">
        <v>800</v>
      </c>
      <c r="F236" s="1847">
        <v>900</v>
      </c>
    </row>
    <row r="237" spans="2:6" ht="20.100000000000001" customHeight="1" thickBot="1" x14ac:dyDescent="0.3">
      <c r="B237" s="1845" t="s">
        <v>14</v>
      </c>
      <c r="C237" s="1847">
        <v>1000</v>
      </c>
      <c r="D237" s="1847">
        <v>1200</v>
      </c>
      <c r="E237" s="1847">
        <v>1400</v>
      </c>
      <c r="F237" s="1847">
        <v>1800</v>
      </c>
    </row>
    <row r="238" spans="2:6" ht="20.100000000000001" customHeight="1" thickBot="1" x14ac:dyDescent="0.3">
      <c r="B238" s="1845" t="s">
        <v>23</v>
      </c>
      <c r="C238" s="1859">
        <f>C237/C236</f>
        <v>1.6666666666666667</v>
      </c>
      <c r="D238" s="1859">
        <f>D237/D236</f>
        <v>1.7142857142857142</v>
      </c>
      <c r="E238" s="1859">
        <f>E237/E236</f>
        <v>1.75</v>
      </c>
      <c r="F238" s="1859">
        <f>F237/F236</f>
        <v>2</v>
      </c>
    </row>
    <row r="239" spans="2:6" ht="20.100000000000001" customHeight="1" thickBot="1" x14ac:dyDescent="0.3">
      <c r="B239" s="1845" t="s">
        <v>15</v>
      </c>
      <c r="C239" s="1747" t="s">
        <v>21</v>
      </c>
      <c r="D239" s="1720">
        <f t="shared" ref="D239:F241" si="8">D236/C236-1</f>
        <v>0.16666666666666674</v>
      </c>
      <c r="E239" s="1720">
        <f t="shared" si="8"/>
        <v>0.14285714285714279</v>
      </c>
      <c r="F239" s="1720">
        <f t="shared" si="8"/>
        <v>0.125</v>
      </c>
    </row>
    <row r="240" spans="2:6" ht="20.100000000000001" customHeight="1" thickBot="1" x14ac:dyDescent="0.3">
      <c r="B240" s="1845" t="s">
        <v>16</v>
      </c>
      <c r="C240" s="1747" t="s">
        <v>21</v>
      </c>
      <c r="D240" s="1720">
        <f t="shared" si="8"/>
        <v>0.19999999999999996</v>
      </c>
      <c r="E240" s="1720">
        <f t="shared" si="8"/>
        <v>0.16666666666666674</v>
      </c>
      <c r="F240" s="1720">
        <f t="shared" si="8"/>
        <v>0.28571428571428581</v>
      </c>
    </row>
    <row r="241" spans="2:6" ht="20.100000000000001" customHeight="1" thickBot="1" x14ac:dyDescent="0.3">
      <c r="B241" s="1845" t="s">
        <v>17</v>
      </c>
      <c r="C241" s="1747" t="s">
        <v>21</v>
      </c>
      <c r="D241" s="1720">
        <f t="shared" si="8"/>
        <v>2.857142857142847E-2</v>
      </c>
      <c r="E241" s="1720">
        <f>E238/D238-1</f>
        <v>2.0833333333333481E-2</v>
      </c>
      <c r="F241" s="1720">
        <f>F238/E238-1</f>
        <v>0.14285714285714279</v>
      </c>
    </row>
    <row r="242" spans="2:6" ht="20.100000000000001" customHeight="1" thickBot="1" x14ac:dyDescent="0.3">
      <c r="B242" s="3078" t="s">
        <v>1177</v>
      </c>
      <c r="C242" s="3079"/>
      <c r="D242" s="3079"/>
      <c r="E242" s="3079"/>
      <c r="F242" s="3080"/>
    </row>
    <row r="243" spans="2:6" ht="20.100000000000001" customHeight="1" x14ac:dyDescent="0.25">
      <c r="B243" s="3076"/>
      <c r="C243" s="1728">
        <v>2018</v>
      </c>
      <c r="D243" s="1728">
        <v>2019</v>
      </c>
      <c r="E243" s="1728">
        <v>2020</v>
      </c>
      <c r="F243" s="1728">
        <v>2021</v>
      </c>
    </row>
    <row r="244" spans="2:6" ht="20.100000000000001" customHeight="1" thickBot="1" x14ac:dyDescent="0.3">
      <c r="B244" s="3077"/>
      <c r="C244" s="1748" t="s">
        <v>6</v>
      </c>
      <c r="D244" s="1748" t="s">
        <v>7</v>
      </c>
      <c r="E244" s="1748" t="s">
        <v>7</v>
      </c>
      <c r="F244" s="1748" t="s">
        <v>7</v>
      </c>
    </row>
    <row r="245" spans="2:6" ht="20.100000000000001" customHeight="1" thickBot="1" x14ac:dyDescent="0.3">
      <c r="B245" s="1845" t="s">
        <v>0</v>
      </c>
      <c r="C245" s="1766"/>
      <c r="D245" s="1766"/>
      <c r="E245" s="1766"/>
      <c r="F245" s="1766"/>
    </row>
    <row r="246" spans="2:6" ht="20.100000000000001" customHeight="1" thickBot="1" x14ac:dyDescent="0.3">
      <c r="B246" s="1845" t="s">
        <v>49</v>
      </c>
      <c r="C246" s="1766"/>
      <c r="D246" s="1766"/>
      <c r="E246" s="1766"/>
      <c r="F246" s="1766"/>
    </row>
    <row r="247" spans="2:6" ht="20.100000000000001" customHeight="1" thickBot="1" x14ac:dyDescent="0.3">
      <c r="B247" s="1845" t="s">
        <v>1</v>
      </c>
      <c r="C247" s="1767"/>
      <c r="D247" s="1766"/>
      <c r="E247" s="1766"/>
      <c r="F247" s="1766"/>
    </row>
    <row r="248" spans="2:6" ht="20.100000000000001" customHeight="1" thickBot="1" x14ac:dyDescent="0.3">
      <c r="B248" s="1845" t="s">
        <v>2</v>
      </c>
      <c r="C248" s="1767"/>
      <c r="D248" s="1766"/>
      <c r="E248" s="1766"/>
      <c r="F248" s="1766"/>
    </row>
    <row r="249" spans="2:6" ht="20.100000000000001" customHeight="1" thickBot="1" x14ac:dyDescent="0.3">
      <c r="B249" s="1845" t="s">
        <v>28</v>
      </c>
      <c r="C249" s="1767">
        <f>C237</f>
        <v>1000</v>
      </c>
      <c r="D249" s="1767">
        <f>D237</f>
        <v>1200</v>
      </c>
      <c r="E249" s="1767">
        <f>E237</f>
        <v>1400</v>
      </c>
      <c r="F249" s="1767">
        <f>F237</f>
        <v>1800</v>
      </c>
    </row>
    <row r="250" spans="2:6" ht="20.100000000000001" customHeight="1" thickBot="1" x14ac:dyDescent="0.3">
      <c r="B250" s="1845" t="s">
        <v>30</v>
      </c>
      <c r="C250" s="1767"/>
      <c r="D250" s="1766"/>
      <c r="E250" s="1766"/>
      <c r="F250" s="1766"/>
    </row>
    <row r="251" spans="2:6" ht="20.100000000000001" customHeight="1" thickBot="1" x14ac:dyDescent="0.3">
      <c r="B251" s="1845" t="s">
        <v>3</v>
      </c>
      <c r="C251" s="1767"/>
      <c r="D251" s="1766"/>
      <c r="E251" s="1766"/>
      <c r="F251" s="1766"/>
    </row>
    <row r="252" spans="2:6" ht="20.100000000000001" customHeight="1" thickBot="1" x14ac:dyDescent="0.3">
      <c r="B252" s="1848" t="s">
        <v>68</v>
      </c>
      <c r="C252" s="1767">
        <f>C251+C250+C249+C248+C247+C246+C245</f>
        <v>1000</v>
      </c>
      <c r="D252" s="1767">
        <f>D251+D250+D249+D248+D247+D246+D245</f>
        <v>1200</v>
      </c>
      <c r="E252" s="1767">
        <f>E251+E250+E249+E248+E247+E246+E245</f>
        <v>1400</v>
      </c>
      <c r="F252" s="1767">
        <f>F251+F250+F249+F248+F247+F246+F245</f>
        <v>1800</v>
      </c>
    </row>
    <row r="253" spans="2:6" ht="20.100000000000001" customHeight="1" thickBot="1" x14ac:dyDescent="0.3">
      <c r="B253" s="1846" t="s">
        <v>70</v>
      </c>
      <c r="C253" s="1753">
        <f>C252-C237</f>
        <v>0</v>
      </c>
      <c r="D253" s="1753">
        <f>D252-D237</f>
        <v>0</v>
      </c>
      <c r="E253" s="1753">
        <f>E252-E237</f>
        <v>0</v>
      </c>
      <c r="F253" s="1753">
        <f>F252-F237</f>
        <v>0</v>
      </c>
    </row>
    <row r="254" spans="2:6" ht="20.100000000000001" customHeight="1" thickBot="1" x14ac:dyDescent="0.3">
      <c r="B254" s="3073" t="s">
        <v>535</v>
      </c>
      <c r="C254" s="3074"/>
      <c r="D254" s="3074"/>
      <c r="E254" s="3074"/>
      <c r="F254" s="3075"/>
    </row>
    <row r="255" spans="2:6" ht="20.100000000000001" customHeight="1" thickBot="1" x14ac:dyDescent="0.3">
      <c r="B255" s="1846" t="s">
        <v>892</v>
      </c>
      <c r="C255" s="2596" t="s">
        <v>919</v>
      </c>
      <c r="D255" s="2597"/>
      <c r="E255" s="2597"/>
      <c r="F255" s="2598"/>
    </row>
    <row r="256" spans="2:6" ht="20.100000000000001" customHeight="1" thickBot="1" x14ac:dyDescent="0.3">
      <c r="B256" s="1845" t="s">
        <v>10</v>
      </c>
      <c r="C256" s="2608" t="s">
        <v>920</v>
      </c>
      <c r="D256" s="2609"/>
      <c r="E256" s="2609"/>
      <c r="F256" s="2610"/>
    </row>
    <row r="257" spans="2:6" ht="20.100000000000001" customHeight="1" thickBot="1" x14ac:dyDescent="0.3">
      <c r="B257" s="1845" t="s">
        <v>13</v>
      </c>
      <c r="C257" s="2593" t="s">
        <v>921</v>
      </c>
      <c r="D257" s="2594"/>
      <c r="E257" s="2594"/>
      <c r="F257" s="2595"/>
    </row>
    <row r="258" spans="2:6" ht="20.100000000000001" customHeight="1" x14ac:dyDescent="0.25">
      <c r="B258" s="3076"/>
      <c r="C258" s="1728">
        <v>2018</v>
      </c>
      <c r="D258" s="1728">
        <v>2019</v>
      </c>
      <c r="E258" s="1728">
        <v>2020</v>
      </c>
      <c r="F258" s="1728">
        <v>2021</v>
      </c>
    </row>
    <row r="259" spans="2:6" ht="20.100000000000001" customHeight="1" thickBot="1" x14ac:dyDescent="0.3">
      <c r="B259" s="3077"/>
      <c r="C259" s="1748" t="s">
        <v>6</v>
      </c>
      <c r="D259" s="1748" t="s">
        <v>7</v>
      </c>
      <c r="E259" s="1748" t="s">
        <v>7</v>
      </c>
      <c r="F259" s="1748" t="s">
        <v>7</v>
      </c>
    </row>
    <row r="260" spans="2:6" ht="20.100000000000001" customHeight="1" thickBot="1" x14ac:dyDescent="0.3">
      <c r="B260" s="1845" t="s">
        <v>9</v>
      </c>
      <c r="C260" s="1847">
        <v>5</v>
      </c>
      <c r="D260" s="1847">
        <v>5</v>
      </c>
      <c r="E260" s="1847">
        <v>5</v>
      </c>
      <c r="F260" s="1847">
        <v>5</v>
      </c>
    </row>
    <row r="261" spans="2:6" ht="20.100000000000001" customHeight="1" thickBot="1" x14ac:dyDescent="0.3">
      <c r="B261" s="1845" t="s">
        <v>14</v>
      </c>
      <c r="C261" s="1847">
        <v>500</v>
      </c>
      <c r="D261" s="1847">
        <v>500</v>
      </c>
      <c r="E261" s="1847">
        <v>500</v>
      </c>
      <c r="F261" s="1847">
        <v>500</v>
      </c>
    </row>
    <row r="262" spans="2:6" ht="20.100000000000001" customHeight="1" thickBot="1" x14ac:dyDescent="0.3">
      <c r="B262" s="1845" t="s">
        <v>23</v>
      </c>
      <c r="C262" s="1847">
        <f>C261/C260</f>
        <v>100</v>
      </c>
      <c r="D262" s="1847">
        <f>D261/D260</f>
        <v>100</v>
      </c>
      <c r="E262" s="1847">
        <f>E261/E260</f>
        <v>100</v>
      </c>
      <c r="F262" s="1847">
        <f>F261/F260</f>
        <v>100</v>
      </c>
    </row>
    <row r="263" spans="2:6" ht="20.100000000000001" customHeight="1" thickBot="1" x14ac:dyDescent="0.3">
      <c r="B263" s="1845" t="s">
        <v>15</v>
      </c>
      <c r="C263" s="1747" t="s">
        <v>21</v>
      </c>
      <c r="D263" s="1720">
        <f t="shared" ref="D263:F265" si="9">D260/C260-1</f>
        <v>0</v>
      </c>
      <c r="E263" s="1720">
        <f t="shared" si="9"/>
        <v>0</v>
      </c>
      <c r="F263" s="1720">
        <f t="shared" si="9"/>
        <v>0</v>
      </c>
    </row>
    <row r="264" spans="2:6" ht="20.100000000000001" customHeight="1" thickBot="1" x14ac:dyDescent="0.3">
      <c r="B264" s="1845" t="s">
        <v>16</v>
      </c>
      <c r="C264" s="1747" t="s">
        <v>21</v>
      </c>
      <c r="D264" s="1720">
        <f t="shared" si="9"/>
        <v>0</v>
      </c>
      <c r="E264" s="1720">
        <f t="shared" si="9"/>
        <v>0</v>
      </c>
      <c r="F264" s="1720">
        <f t="shared" si="9"/>
        <v>0</v>
      </c>
    </row>
    <row r="265" spans="2:6" ht="20.100000000000001" customHeight="1" thickBot="1" x14ac:dyDescent="0.3">
      <c r="B265" s="1845" t="s">
        <v>17</v>
      </c>
      <c r="C265" s="1747" t="s">
        <v>21</v>
      </c>
      <c r="D265" s="1720">
        <f t="shared" si="9"/>
        <v>0</v>
      </c>
      <c r="E265" s="1720">
        <f t="shared" si="9"/>
        <v>0</v>
      </c>
      <c r="F265" s="1720">
        <f t="shared" si="9"/>
        <v>0</v>
      </c>
    </row>
    <row r="266" spans="2:6" ht="20.100000000000001" customHeight="1" thickBot="1" x14ac:dyDescent="0.3">
      <c r="B266" s="3078" t="s">
        <v>1183</v>
      </c>
      <c r="C266" s="3079"/>
      <c r="D266" s="3079"/>
      <c r="E266" s="3079"/>
      <c r="F266" s="3080"/>
    </row>
    <row r="267" spans="2:6" ht="20.100000000000001" customHeight="1" x14ac:dyDescent="0.25">
      <c r="B267" s="3076"/>
      <c r="C267" s="1728">
        <v>2018</v>
      </c>
      <c r="D267" s="1728">
        <v>2019</v>
      </c>
      <c r="E267" s="1728">
        <v>2020</v>
      </c>
      <c r="F267" s="1728">
        <v>2021</v>
      </c>
    </row>
    <row r="268" spans="2:6" ht="20.100000000000001" customHeight="1" thickBot="1" x14ac:dyDescent="0.3">
      <c r="B268" s="3077"/>
      <c r="C268" s="1748" t="s">
        <v>6</v>
      </c>
      <c r="D268" s="1748" t="s">
        <v>7</v>
      </c>
      <c r="E268" s="1748" t="s">
        <v>7</v>
      </c>
      <c r="F268" s="1748" t="s">
        <v>7</v>
      </c>
    </row>
    <row r="269" spans="2:6" ht="20.100000000000001" customHeight="1" thickBot="1" x14ac:dyDescent="0.3">
      <c r="B269" s="1845" t="s">
        <v>0</v>
      </c>
      <c r="C269" s="1766"/>
      <c r="D269" s="1766"/>
      <c r="E269" s="1766"/>
      <c r="F269" s="1766"/>
    </row>
    <row r="270" spans="2:6" ht="20.100000000000001" customHeight="1" thickBot="1" x14ac:dyDescent="0.3">
      <c r="B270" s="1845" t="s">
        <v>49</v>
      </c>
      <c r="C270" s="1766"/>
      <c r="D270" s="1766"/>
      <c r="E270" s="1766"/>
      <c r="F270" s="1766"/>
    </row>
    <row r="271" spans="2:6" ht="20.100000000000001" customHeight="1" thickBot="1" x14ac:dyDescent="0.3">
      <c r="B271" s="1845" t="s">
        <v>1</v>
      </c>
      <c r="C271" s="1767"/>
      <c r="D271" s="1766"/>
      <c r="E271" s="1766"/>
      <c r="F271" s="1766"/>
    </row>
    <row r="272" spans="2:6" ht="20.100000000000001" customHeight="1" thickBot="1" x14ac:dyDescent="0.3">
      <c r="B272" s="1845" t="s">
        <v>2</v>
      </c>
      <c r="C272" s="1767"/>
      <c r="D272" s="1766"/>
      <c r="E272" s="1766"/>
      <c r="F272" s="1766"/>
    </row>
    <row r="273" spans="2:6" ht="20.100000000000001" customHeight="1" thickBot="1" x14ac:dyDescent="0.3">
      <c r="B273" s="1845" t="s">
        <v>28</v>
      </c>
      <c r="C273" s="1767">
        <f>C261</f>
        <v>500</v>
      </c>
      <c r="D273" s="1767">
        <f>D261</f>
        <v>500</v>
      </c>
      <c r="E273" s="1767">
        <f>E261</f>
        <v>500</v>
      </c>
      <c r="F273" s="1767">
        <f>F261</f>
        <v>500</v>
      </c>
    </row>
    <row r="274" spans="2:6" ht="20.100000000000001" customHeight="1" thickBot="1" x14ac:dyDescent="0.3">
      <c r="B274" s="1845" t="s">
        <v>30</v>
      </c>
      <c r="C274" s="1767"/>
      <c r="D274" s="1766"/>
      <c r="E274" s="1766"/>
      <c r="F274" s="1766"/>
    </row>
    <row r="275" spans="2:6" ht="20.100000000000001" customHeight="1" thickBot="1" x14ac:dyDescent="0.3">
      <c r="B275" s="1845" t="s">
        <v>3</v>
      </c>
      <c r="C275" s="1767"/>
      <c r="D275" s="1766"/>
      <c r="E275" s="1766"/>
      <c r="F275" s="1766"/>
    </row>
    <row r="276" spans="2:6" ht="20.100000000000001" customHeight="1" thickBot="1" x14ac:dyDescent="0.3">
      <c r="B276" s="1848" t="s">
        <v>68</v>
      </c>
      <c r="C276" s="1767">
        <f>C275+C274+C273+C272+C271+C270+C269</f>
        <v>500</v>
      </c>
      <c r="D276" s="1767">
        <f>D275+D274+D273+D272+D271+D270+D269</f>
        <v>500</v>
      </c>
      <c r="E276" s="1767">
        <f>E275+E274+E273+E272+E271+E270+E269</f>
        <v>500</v>
      </c>
      <c r="F276" s="1767">
        <f>F275+F274+F273+F272+F271+F270+F269</f>
        <v>500</v>
      </c>
    </row>
    <row r="277" spans="2:6" ht="20.100000000000001" customHeight="1" thickBot="1" x14ac:dyDescent="0.3">
      <c r="B277" s="1846" t="s">
        <v>70</v>
      </c>
      <c r="C277" s="1753">
        <f>C276-C261</f>
        <v>0</v>
      </c>
      <c r="D277" s="1753">
        <f>D276-D261</f>
        <v>0</v>
      </c>
      <c r="E277" s="1753">
        <f>E276-E261</f>
        <v>0</v>
      </c>
      <c r="F277" s="1753">
        <f>F276-F261</f>
        <v>0</v>
      </c>
    </row>
    <row r="278" spans="2:6" ht="20.100000000000001" customHeight="1" thickBot="1" x14ac:dyDescent="0.3">
      <c r="B278" s="3073" t="s">
        <v>535</v>
      </c>
      <c r="C278" s="3074"/>
      <c r="D278" s="3074"/>
      <c r="E278" s="3074"/>
      <c r="F278" s="3075"/>
    </row>
    <row r="279" spans="2:6" ht="20.100000000000001" customHeight="1" thickBot="1" x14ac:dyDescent="0.3">
      <c r="B279" s="1846" t="s">
        <v>896</v>
      </c>
      <c r="C279" s="2596" t="s">
        <v>1199</v>
      </c>
      <c r="D279" s="2597"/>
      <c r="E279" s="2597"/>
      <c r="F279" s="2598"/>
    </row>
    <row r="280" spans="2:6" ht="32.25" customHeight="1" thickBot="1" x14ac:dyDescent="0.3">
      <c r="B280" s="1845" t="s">
        <v>10</v>
      </c>
      <c r="C280" s="2602" t="s">
        <v>1198</v>
      </c>
      <c r="D280" s="2603"/>
      <c r="E280" s="2603"/>
      <c r="F280" s="2604"/>
    </row>
    <row r="281" spans="2:6" ht="20.100000000000001" customHeight="1" thickBot="1" x14ac:dyDescent="0.3">
      <c r="B281" s="1845" t="s">
        <v>13</v>
      </c>
      <c r="C281" s="2593" t="s">
        <v>924</v>
      </c>
      <c r="D281" s="2594"/>
      <c r="E281" s="2594"/>
      <c r="F281" s="2595"/>
    </row>
    <row r="282" spans="2:6" ht="20.100000000000001" customHeight="1" x14ac:dyDescent="0.25">
      <c r="B282" s="3076"/>
      <c r="C282" s="1728">
        <v>2018</v>
      </c>
      <c r="D282" s="1728">
        <v>2019</v>
      </c>
      <c r="E282" s="1728">
        <v>2020</v>
      </c>
      <c r="F282" s="1728">
        <v>2021</v>
      </c>
    </row>
    <row r="283" spans="2:6" ht="20.100000000000001" customHeight="1" thickBot="1" x14ac:dyDescent="0.3">
      <c r="B283" s="3077"/>
      <c r="C283" s="1748" t="s">
        <v>6</v>
      </c>
      <c r="D283" s="1748" t="s">
        <v>7</v>
      </c>
      <c r="E283" s="1748" t="s">
        <v>7</v>
      </c>
      <c r="F283" s="1748" t="s">
        <v>7</v>
      </c>
    </row>
    <row r="284" spans="2:6" ht="20.100000000000001" customHeight="1" thickBot="1" x14ac:dyDescent="0.3">
      <c r="B284" s="1845" t="s">
        <v>9</v>
      </c>
      <c r="C284" s="1847">
        <v>1</v>
      </c>
      <c r="D284" s="1847">
        <v>1</v>
      </c>
      <c r="E284" s="1847">
        <v>1</v>
      </c>
      <c r="F284" s="1847">
        <v>1</v>
      </c>
    </row>
    <row r="285" spans="2:6" ht="20.100000000000001" customHeight="1" thickBot="1" x14ac:dyDescent="0.3">
      <c r="B285" s="1845" t="s">
        <v>14</v>
      </c>
      <c r="C285" s="1847">
        <v>100</v>
      </c>
      <c r="D285" s="1847">
        <v>100</v>
      </c>
      <c r="E285" s="1847">
        <v>100</v>
      </c>
      <c r="F285" s="1847">
        <v>100</v>
      </c>
    </row>
    <row r="286" spans="2:6" ht="20.100000000000001" customHeight="1" thickBot="1" x14ac:dyDescent="0.3">
      <c r="B286" s="1845" t="s">
        <v>23</v>
      </c>
      <c r="C286" s="1847">
        <f>C285/C284</f>
        <v>100</v>
      </c>
      <c r="D286" s="1847">
        <f>D285/D284</f>
        <v>100</v>
      </c>
      <c r="E286" s="1847">
        <f>E285/E284</f>
        <v>100</v>
      </c>
      <c r="F286" s="1847">
        <f>F285/F284</f>
        <v>100</v>
      </c>
    </row>
    <row r="287" spans="2:6" ht="20.100000000000001" customHeight="1" thickBot="1" x14ac:dyDescent="0.3">
      <c r="B287" s="1845" t="s">
        <v>15</v>
      </c>
      <c r="C287" s="1747" t="s">
        <v>21</v>
      </c>
      <c r="D287" s="1720">
        <f t="shared" ref="D287:F289" si="10">D284/C284-1</f>
        <v>0</v>
      </c>
      <c r="E287" s="1720">
        <f t="shared" si="10"/>
        <v>0</v>
      </c>
      <c r="F287" s="1720">
        <f t="shared" si="10"/>
        <v>0</v>
      </c>
    </row>
    <row r="288" spans="2:6" ht="20.100000000000001" customHeight="1" thickBot="1" x14ac:dyDescent="0.3">
      <c r="B288" s="1845" t="s">
        <v>16</v>
      </c>
      <c r="C288" s="1747" t="s">
        <v>21</v>
      </c>
      <c r="D288" s="1720">
        <f t="shared" si="10"/>
        <v>0</v>
      </c>
      <c r="E288" s="1720">
        <f t="shared" si="10"/>
        <v>0</v>
      </c>
      <c r="F288" s="1720">
        <f t="shared" si="10"/>
        <v>0</v>
      </c>
    </row>
    <row r="289" spans="2:6" ht="20.100000000000001" customHeight="1" thickBot="1" x14ac:dyDescent="0.3">
      <c r="B289" s="1845" t="s">
        <v>17</v>
      </c>
      <c r="C289" s="1747" t="s">
        <v>21</v>
      </c>
      <c r="D289" s="1720">
        <f t="shared" si="10"/>
        <v>0</v>
      </c>
      <c r="E289" s="1720">
        <f t="shared" si="10"/>
        <v>0</v>
      </c>
      <c r="F289" s="1720">
        <f t="shared" si="10"/>
        <v>0</v>
      </c>
    </row>
    <row r="290" spans="2:6" ht="20.100000000000001" customHeight="1" thickBot="1" x14ac:dyDescent="0.3">
      <c r="B290" s="3078" t="s">
        <v>1185</v>
      </c>
      <c r="C290" s="3079"/>
      <c r="D290" s="3079"/>
      <c r="E290" s="3079"/>
      <c r="F290" s="3080"/>
    </row>
    <row r="291" spans="2:6" ht="20.100000000000001" customHeight="1" x14ac:dyDescent="0.25">
      <c r="B291" s="3076"/>
      <c r="C291" s="1728">
        <v>2018</v>
      </c>
      <c r="D291" s="1728">
        <v>2019</v>
      </c>
      <c r="E291" s="1728">
        <v>2020</v>
      </c>
      <c r="F291" s="1728">
        <v>2021</v>
      </c>
    </row>
    <row r="292" spans="2:6" ht="20.100000000000001" customHeight="1" thickBot="1" x14ac:dyDescent="0.3">
      <c r="B292" s="3077"/>
      <c r="C292" s="1748" t="s">
        <v>6</v>
      </c>
      <c r="D292" s="1748" t="s">
        <v>7</v>
      </c>
      <c r="E292" s="1748" t="s">
        <v>7</v>
      </c>
      <c r="F292" s="1748" t="s">
        <v>7</v>
      </c>
    </row>
    <row r="293" spans="2:6" ht="20.100000000000001" customHeight="1" thickBot="1" x14ac:dyDescent="0.3">
      <c r="B293" s="1845" t="s">
        <v>0</v>
      </c>
      <c r="C293" s="1766"/>
      <c r="D293" s="1766"/>
      <c r="E293" s="1766"/>
      <c r="F293" s="1766"/>
    </row>
    <row r="294" spans="2:6" ht="20.100000000000001" customHeight="1" thickBot="1" x14ac:dyDescent="0.3">
      <c r="B294" s="1845" t="s">
        <v>49</v>
      </c>
      <c r="C294" s="1766"/>
      <c r="D294" s="1766"/>
      <c r="E294" s="1766"/>
      <c r="F294" s="1766"/>
    </row>
    <row r="295" spans="2:6" ht="20.100000000000001" customHeight="1" thickBot="1" x14ac:dyDescent="0.3">
      <c r="B295" s="1845" t="s">
        <v>1</v>
      </c>
      <c r="C295" s="1767">
        <f>C285</f>
        <v>100</v>
      </c>
      <c r="D295" s="1767">
        <f>D285</f>
        <v>100</v>
      </c>
      <c r="E295" s="1767">
        <f>E285</f>
        <v>100</v>
      </c>
      <c r="F295" s="1767">
        <f>F285</f>
        <v>100</v>
      </c>
    </row>
    <row r="296" spans="2:6" ht="20.100000000000001" customHeight="1" thickBot="1" x14ac:dyDescent="0.3">
      <c r="B296" s="1845" t="s">
        <v>2</v>
      </c>
      <c r="C296" s="1767"/>
      <c r="D296" s="1766"/>
      <c r="E296" s="1766"/>
      <c r="F296" s="1766"/>
    </row>
    <row r="297" spans="2:6" ht="20.100000000000001" customHeight="1" thickBot="1" x14ac:dyDescent="0.3">
      <c r="B297" s="1845" t="s">
        <v>28</v>
      </c>
      <c r="C297" s="1767"/>
      <c r="D297" s="1767"/>
      <c r="E297" s="1767"/>
      <c r="F297" s="1767"/>
    </row>
    <row r="298" spans="2:6" ht="20.100000000000001" customHeight="1" thickBot="1" x14ac:dyDescent="0.3">
      <c r="B298" s="1845" t="s">
        <v>30</v>
      </c>
      <c r="C298" s="1767"/>
      <c r="D298" s="1766"/>
      <c r="E298" s="1766"/>
      <c r="F298" s="1766"/>
    </row>
    <row r="299" spans="2:6" ht="20.100000000000001" customHeight="1" thickBot="1" x14ac:dyDescent="0.3">
      <c r="B299" s="1845" t="s">
        <v>3</v>
      </c>
      <c r="C299" s="1767"/>
      <c r="D299" s="1766"/>
      <c r="E299" s="1766"/>
      <c r="F299" s="1766"/>
    </row>
    <row r="300" spans="2:6" ht="20.100000000000001" customHeight="1" thickBot="1" x14ac:dyDescent="0.3">
      <c r="B300" s="1848" t="s">
        <v>925</v>
      </c>
      <c r="C300" s="1767">
        <f>C295</f>
        <v>100</v>
      </c>
      <c r="D300" s="1767">
        <f>D295</f>
        <v>100</v>
      </c>
      <c r="E300" s="1767">
        <f>E295</f>
        <v>100</v>
      </c>
      <c r="F300" s="1767">
        <f>F295</f>
        <v>100</v>
      </c>
    </row>
    <row r="301" spans="2:6" ht="20.100000000000001" customHeight="1" thickBot="1" x14ac:dyDescent="0.3">
      <c r="B301" s="1846" t="s">
        <v>70</v>
      </c>
      <c r="C301" s="1753">
        <f>C300-C295</f>
        <v>0</v>
      </c>
      <c r="D301" s="1753">
        <f>D300-D295</f>
        <v>0</v>
      </c>
      <c r="E301" s="1753">
        <f>E300-E295</f>
        <v>0</v>
      </c>
      <c r="F301" s="1753">
        <f>F300-F295</f>
        <v>0</v>
      </c>
    </row>
    <row r="302" spans="2:6" ht="20.100000000000001" customHeight="1" thickBot="1" x14ac:dyDescent="0.3">
      <c r="B302" s="3073" t="s">
        <v>535</v>
      </c>
      <c r="C302" s="3074"/>
      <c r="D302" s="3074"/>
      <c r="E302" s="3074"/>
      <c r="F302" s="3075"/>
    </row>
    <row r="303" spans="2:6" ht="20.100000000000001" customHeight="1" thickBot="1" x14ac:dyDescent="0.3">
      <c r="B303" s="1846" t="s">
        <v>909</v>
      </c>
      <c r="C303" s="2596" t="s">
        <v>926</v>
      </c>
      <c r="D303" s="2597"/>
      <c r="E303" s="2597"/>
      <c r="F303" s="2598"/>
    </row>
    <row r="304" spans="2:6" ht="45" customHeight="1" thickBot="1" x14ac:dyDescent="0.3">
      <c r="B304" s="1845" t="s">
        <v>10</v>
      </c>
      <c r="C304" s="2608" t="s">
        <v>927</v>
      </c>
      <c r="D304" s="2609"/>
      <c r="E304" s="2609"/>
      <c r="F304" s="2610"/>
    </row>
    <row r="305" spans="2:6" ht="20.100000000000001" customHeight="1" thickBot="1" x14ac:dyDescent="0.3">
      <c r="B305" s="1845" t="s">
        <v>13</v>
      </c>
      <c r="C305" s="2593" t="s">
        <v>928</v>
      </c>
      <c r="D305" s="2594"/>
      <c r="E305" s="2594"/>
      <c r="F305" s="2595"/>
    </row>
    <row r="306" spans="2:6" ht="20.100000000000001" customHeight="1" x14ac:dyDescent="0.25">
      <c r="B306" s="3076"/>
      <c r="C306" s="1728">
        <v>2018</v>
      </c>
      <c r="D306" s="1728">
        <v>2019</v>
      </c>
      <c r="E306" s="1728">
        <v>2020</v>
      </c>
      <c r="F306" s="1728">
        <v>2021</v>
      </c>
    </row>
    <row r="307" spans="2:6" ht="20.100000000000001" customHeight="1" thickBot="1" x14ac:dyDescent="0.3">
      <c r="B307" s="3077"/>
      <c r="C307" s="1748" t="s">
        <v>6</v>
      </c>
      <c r="D307" s="1748" t="s">
        <v>7</v>
      </c>
      <c r="E307" s="1748" t="s">
        <v>7</v>
      </c>
      <c r="F307" s="1748" t="s">
        <v>7</v>
      </c>
    </row>
    <row r="308" spans="2:6" ht="20.100000000000001" customHeight="1" thickBot="1" x14ac:dyDescent="0.3">
      <c r="B308" s="1845" t="s">
        <v>9</v>
      </c>
      <c r="C308" s="1847">
        <v>5</v>
      </c>
      <c r="D308" s="1847">
        <v>8</v>
      </c>
      <c r="E308" s="1847">
        <v>10</v>
      </c>
      <c r="F308" s="1847">
        <v>10</v>
      </c>
    </row>
    <row r="309" spans="2:6" ht="20.100000000000001" customHeight="1" thickBot="1" x14ac:dyDescent="0.3">
      <c r="B309" s="1845" t="s">
        <v>14</v>
      </c>
      <c r="C309" s="1847">
        <v>500</v>
      </c>
      <c r="D309" s="1847">
        <v>800</v>
      </c>
      <c r="E309" s="1847">
        <v>1000</v>
      </c>
      <c r="F309" s="1847">
        <v>1000</v>
      </c>
    </row>
    <row r="310" spans="2:6" ht="20.100000000000001" customHeight="1" thickBot="1" x14ac:dyDescent="0.3">
      <c r="B310" s="1845" t="s">
        <v>23</v>
      </c>
      <c r="C310" s="1847">
        <f>C309/C308</f>
        <v>100</v>
      </c>
      <c r="D310" s="1847">
        <f>D309/D308</f>
        <v>100</v>
      </c>
      <c r="E310" s="1847">
        <f>E309/E308</f>
        <v>100</v>
      </c>
      <c r="F310" s="1847">
        <f>F309/F308</f>
        <v>100</v>
      </c>
    </row>
    <row r="311" spans="2:6" ht="20.100000000000001" customHeight="1" thickBot="1" x14ac:dyDescent="0.3">
      <c r="B311" s="1845" t="s">
        <v>15</v>
      </c>
      <c r="C311" s="1747" t="s">
        <v>21</v>
      </c>
      <c r="D311" s="1720">
        <f t="shared" ref="D311:F313" si="11">D308/C308-1</f>
        <v>0.60000000000000009</v>
      </c>
      <c r="E311" s="1720">
        <f t="shared" si="11"/>
        <v>0.25</v>
      </c>
      <c r="F311" s="1720">
        <f t="shared" si="11"/>
        <v>0</v>
      </c>
    </row>
    <row r="312" spans="2:6" ht="20.100000000000001" customHeight="1" thickBot="1" x14ac:dyDescent="0.3">
      <c r="B312" s="1845" t="s">
        <v>16</v>
      </c>
      <c r="C312" s="1747" t="s">
        <v>21</v>
      </c>
      <c r="D312" s="1720">
        <f t="shared" si="11"/>
        <v>0.60000000000000009</v>
      </c>
      <c r="E312" s="1720">
        <f t="shared" si="11"/>
        <v>0.25</v>
      </c>
      <c r="F312" s="1720">
        <f t="shared" si="11"/>
        <v>0</v>
      </c>
    </row>
    <row r="313" spans="2:6" ht="20.100000000000001" customHeight="1" thickBot="1" x14ac:dyDescent="0.3">
      <c r="B313" s="1845" t="s">
        <v>17</v>
      </c>
      <c r="C313" s="1747" t="s">
        <v>21</v>
      </c>
      <c r="D313" s="1720">
        <f t="shared" si="11"/>
        <v>0</v>
      </c>
      <c r="E313" s="1720">
        <f t="shared" si="11"/>
        <v>0</v>
      </c>
      <c r="F313" s="1720">
        <f t="shared" si="11"/>
        <v>0</v>
      </c>
    </row>
    <row r="314" spans="2:6" ht="20.100000000000001" customHeight="1" thickBot="1" x14ac:dyDescent="0.3">
      <c r="B314" s="3078" t="s">
        <v>1196</v>
      </c>
      <c r="C314" s="3079"/>
      <c r="D314" s="3079"/>
      <c r="E314" s="3079"/>
      <c r="F314" s="3080"/>
    </row>
    <row r="315" spans="2:6" ht="20.100000000000001" customHeight="1" x14ac:dyDescent="0.25">
      <c r="B315" s="3076"/>
      <c r="C315" s="1728">
        <v>2018</v>
      </c>
      <c r="D315" s="1728">
        <v>2019</v>
      </c>
      <c r="E315" s="1728">
        <v>2020</v>
      </c>
      <c r="F315" s="1728">
        <v>2021</v>
      </c>
    </row>
    <row r="316" spans="2:6" ht="20.100000000000001" customHeight="1" thickBot="1" x14ac:dyDescent="0.3">
      <c r="B316" s="3077"/>
      <c r="C316" s="1748" t="s">
        <v>6</v>
      </c>
      <c r="D316" s="1748" t="s">
        <v>7</v>
      </c>
      <c r="E316" s="1748" t="s">
        <v>7</v>
      </c>
      <c r="F316" s="1748" t="s">
        <v>7</v>
      </c>
    </row>
    <row r="317" spans="2:6" ht="20.100000000000001" customHeight="1" thickBot="1" x14ac:dyDescent="0.3">
      <c r="B317" s="1845" t="s">
        <v>0</v>
      </c>
      <c r="C317" s="1766"/>
      <c r="D317" s="1766"/>
      <c r="E317" s="1766"/>
      <c r="F317" s="1766"/>
    </row>
    <row r="318" spans="2:6" ht="20.100000000000001" customHeight="1" thickBot="1" x14ac:dyDescent="0.3">
      <c r="B318" s="1845" t="s">
        <v>49</v>
      </c>
      <c r="C318" s="1766"/>
      <c r="D318" s="1766"/>
      <c r="E318" s="1766"/>
      <c r="F318" s="1766"/>
    </row>
    <row r="319" spans="2:6" ht="20.100000000000001" customHeight="1" thickBot="1" x14ac:dyDescent="0.3">
      <c r="B319" s="1845" t="s">
        <v>1</v>
      </c>
      <c r="C319" s="1767"/>
      <c r="D319" s="1766"/>
      <c r="E319" s="1766"/>
      <c r="F319" s="1766"/>
    </row>
    <row r="320" spans="2:6" ht="20.100000000000001" customHeight="1" thickBot="1" x14ac:dyDescent="0.3">
      <c r="B320" s="1845" t="s">
        <v>2</v>
      </c>
      <c r="C320" s="1767"/>
      <c r="D320" s="1766"/>
      <c r="E320" s="1766"/>
      <c r="F320" s="1766"/>
    </row>
    <row r="321" spans="2:10" ht="20.100000000000001" customHeight="1" thickBot="1" x14ac:dyDescent="0.3">
      <c r="B321" s="1845" t="s">
        <v>28</v>
      </c>
      <c r="C321" s="1767">
        <f>C309</f>
        <v>500</v>
      </c>
      <c r="D321" s="1767">
        <f>D309</f>
        <v>800</v>
      </c>
      <c r="E321" s="1767">
        <f>E309</f>
        <v>1000</v>
      </c>
      <c r="F321" s="1767">
        <f>F309</f>
        <v>1000</v>
      </c>
    </row>
    <row r="322" spans="2:10" ht="20.100000000000001" customHeight="1" thickBot="1" x14ac:dyDescent="0.3">
      <c r="B322" s="1845" t="s">
        <v>30</v>
      </c>
      <c r="C322" s="1767"/>
      <c r="D322" s="1766"/>
      <c r="E322" s="1766"/>
      <c r="F322" s="1766"/>
    </row>
    <row r="323" spans="2:10" ht="20.100000000000001" customHeight="1" thickBot="1" x14ac:dyDescent="0.3">
      <c r="B323" s="1845" t="s">
        <v>3</v>
      </c>
      <c r="C323" s="1767"/>
      <c r="D323" s="1766"/>
      <c r="E323" s="1766"/>
      <c r="F323" s="1766"/>
    </row>
    <row r="324" spans="2:10" ht="20.100000000000001" customHeight="1" thickBot="1" x14ac:dyDescent="0.3">
      <c r="B324" s="1848" t="s">
        <v>748</v>
      </c>
      <c r="C324" s="1767">
        <f>C321</f>
        <v>500</v>
      </c>
      <c r="D324" s="1767">
        <f>D321</f>
        <v>800</v>
      </c>
      <c r="E324" s="1767">
        <f>E321</f>
        <v>1000</v>
      </c>
      <c r="F324" s="1767">
        <f>F321</f>
        <v>1000</v>
      </c>
      <c r="G324" s="1837"/>
      <c r="H324" s="1837"/>
      <c r="I324" s="1837"/>
      <c r="J324" s="1837"/>
    </row>
    <row r="325" spans="2:10" ht="20.100000000000001" customHeight="1" thickBot="1" x14ac:dyDescent="0.3">
      <c r="B325" s="1846" t="s">
        <v>70</v>
      </c>
      <c r="C325" s="1753">
        <f>C324-C309</f>
        <v>0</v>
      </c>
      <c r="D325" s="1753">
        <f>D324-D309</f>
        <v>0</v>
      </c>
      <c r="E325" s="1753">
        <f>E324-E309</f>
        <v>0</v>
      </c>
      <c r="F325" s="1753">
        <f>F324-F309</f>
        <v>0</v>
      </c>
    </row>
    <row r="326" spans="2:10" ht="20.100000000000001" customHeight="1" thickBot="1" x14ac:dyDescent="0.3">
      <c r="B326" s="3073" t="s">
        <v>535</v>
      </c>
      <c r="C326" s="3074"/>
      <c r="D326" s="3074"/>
      <c r="E326" s="3074"/>
      <c r="F326" s="3075"/>
    </row>
    <row r="327" spans="2:10" ht="20.100000000000001" customHeight="1" thickBot="1" x14ac:dyDescent="0.3">
      <c r="B327" s="1846" t="s">
        <v>930</v>
      </c>
      <c r="C327" s="2596" t="s">
        <v>931</v>
      </c>
      <c r="D327" s="2597"/>
      <c r="E327" s="2597"/>
      <c r="F327" s="2598"/>
    </row>
    <row r="328" spans="2:10" ht="60.75" customHeight="1" thickBot="1" x14ac:dyDescent="0.3">
      <c r="B328" s="1845" t="s">
        <v>10</v>
      </c>
      <c r="C328" s="2602" t="s">
        <v>932</v>
      </c>
      <c r="D328" s="2603"/>
      <c r="E328" s="2603"/>
      <c r="F328" s="2604"/>
    </row>
    <row r="329" spans="2:10" ht="20.100000000000001" customHeight="1" thickBot="1" x14ac:dyDescent="0.3">
      <c r="B329" s="1845" t="s">
        <v>13</v>
      </c>
      <c r="C329" s="2593" t="s">
        <v>933</v>
      </c>
      <c r="D329" s="2594"/>
      <c r="E329" s="2594"/>
      <c r="F329" s="2595"/>
    </row>
    <row r="330" spans="2:10" ht="20.100000000000001" customHeight="1" x14ac:dyDescent="0.25">
      <c r="B330" s="3076"/>
      <c r="C330" s="1728">
        <v>2018</v>
      </c>
      <c r="D330" s="1728">
        <v>2019</v>
      </c>
      <c r="E330" s="1728">
        <v>2020</v>
      </c>
      <c r="F330" s="1728">
        <v>2021</v>
      </c>
    </row>
    <row r="331" spans="2:10" ht="20.100000000000001" customHeight="1" thickBot="1" x14ac:dyDescent="0.3">
      <c r="B331" s="3077"/>
      <c r="C331" s="1748" t="s">
        <v>6</v>
      </c>
      <c r="D331" s="1748" t="s">
        <v>7</v>
      </c>
      <c r="E331" s="1748" t="s">
        <v>7</v>
      </c>
      <c r="F331" s="1748" t="s">
        <v>7</v>
      </c>
    </row>
    <row r="332" spans="2:10" ht="20.100000000000001" customHeight="1" thickBot="1" x14ac:dyDescent="0.3">
      <c r="B332" s="1845" t="s">
        <v>9</v>
      </c>
      <c r="C332" s="1847">
        <v>22</v>
      </c>
      <c r="D332" s="1847">
        <v>25</v>
      </c>
      <c r="E332" s="1847">
        <v>28</v>
      </c>
      <c r="F332" s="1847">
        <v>30</v>
      </c>
    </row>
    <row r="333" spans="2:10" ht="20.100000000000001" customHeight="1" thickBot="1" x14ac:dyDescent="0.3">
      <c r="B333" s="1845" t="s">
        <v>14</v>
      </c>
      <c r="C333" s="1860">
        <f>49800-2100</f>
        <v>47700</v>
      </c>
      <c r="D333" s="1860">
        <f>56800-2600</f>
        <v>54200</v>
      </c>
      <c r="E333" s="1860">
        <f>63800-3000</f>
        <v>60800</v>
      </c>
      <c r="F333" s="1860">
        <f>68800-3400</f>
        <v>65400</v>
      </c>
      <c r="G333" s="1837"/>
      <c r="H333" s="1837"/>
      <c r="I333" s="1837"/>
      <c r="J333" s="1837"/>
    </row>
    <row r="334" spans="2:10" ht="20.100000000000001" customHeight="1" thickBot="1" x14ac:dyDescent="0.3">
      <c r="B334" s="1845" t="s">
        <v>23</v>
      </c>
      <c r="C334" s="1847">
        <f>C333/C332</f>
        <v>2168.181818181818</v>
      </c>
      <c r="D334" s="1847">
        <f>D333/D332</f>
        <v>2168</v>
      </c>
      <c r="E334" s="1847">
        <f>E333/E332</f>
        <v>2171.4285714285716</v>
      </c>
      <c r="F334" s="1847">
        <f>F333/F332</f>
        <v>2180</v>
      </c>
    </row>
    <row r="335" spans="2:10" ht="20.100000000000001" customHeight="1" thickBot="1" x14ac:dyDescent="0.3">
      <c r="B335" s="1845" t="s">
        <v>15</v>
      </c>
      <c r="C335" s="1747" t="s">
        <v>21</v>
      </c>
      <c r="D335" s="1720">
        <f t="shared" ref="D335:F337" si="12">D332/C332-1</f>
        <v>0.13636363636363646</v>
      </c>
      <c r="E335" s="1720">
        <f t="shared" si="12"/>
        <v>0.12000000000000011</v>
      </c>
      <c r="F335" s="1720">
        <f t="shared" si="12"/>
        <v>7.1428571428571397E-2</v>
      </c>
    </row>
    <row r="336" spans="2:10" ht="20.100000000000001" customHeight="1" thickBot="1" x14ac:dyDescent="0.3">
      <c r="B336" s="1845" t="s">
        <v>16</v>
      </c>
      <c r="C336" s="1747" t="s">
        <v>21</v>
      </c>
      <c r="D336" s="1720">
        <f t="shared" si="12"/>
        <v>0.13626834381551367</v>
      </c>
      <c r="E336" s="1720">
        <f t="shared" si="12"/>
        <v>0.12177121771217703</v>
      </c>
      <c r="F336" s="1720">
        <f t="shared" si="12"/>
        <v>7.5657894736842035E-2</v>
      </c>
    </row>
    <row r="337" spans="2:6" ht="20.100000000000001" customHeight="1" thickBot="1" x14ac:dyDescent="0.3">
      <c r="B337" s="1845" t="s">
        <v>17</v>
      </c>
      <c r="C337" s="1747" t="s">
        <v>21</v>
      </c>
      <c r="D337" s="1720">
        <f t="shared" si="12"/>
        <v>-8.3857442347956557E-5</v>
      </c>
      <c r="E337" s="1720">
        <f t="shared" si="12"/>
        <v>1.5814443858725991E-3</v>
      </c>
      <c r="F337" s="1720">
        <f t="shared" si="12"/>
        <v>3.9473684210524773E-3</v>
      </c>
    </row>
    <row r="338" spans="2:6" ht="20.100000000000001" customHeight="1" thickBot="1" x14ac:dyDescent="0.3">
      <c r="B338" s="3078" t="s">
        <v>1186</v>
      </c>
      <c r="C338" s="3079"/>
      <c r="D338" s="3079"/>
      <c r="E338" s="3079"/>
      <c r="F338" s="3080"/>
    </row>
    <row r="339" spans="2:6" ht="20.100000000000001" customHeight="1" x14ac:dyDescent="0.25">
      <c r="B339" s="3076"/>
      <c r="C339" s="1728">
        <v>2018</v>
      </c>
      <c r="D339" s="1728">
        <v>2019</v>
      </c>
      <c r="E339" s="1728">
        <v>2020</v>
      </c>
      <c r="F339" s="1728">
        <v>2021</v>
      </c>
    </row>
    <row r="340" spans="2:6" ht="20.100000000000001" customHeight="1" thickBot="1" x14ac:dyDescent="0.3">
      <c r="B340" s="3077"/>
      <c r="C340" s="1748" t="s">
        <v>6</v>
      </c>
      <c r="D340" s="1748" t="s">
        <v>7</v>
      </c>
      <c r="E340" s="1748" t="s">
        <v>7</v>
      </c>
      <c r="F340" s="1748" t="s">
        <v>7</v>
      </c>
    </row>
    <row r="341" spans="2:6" ht="20.100000000000001" customHeight="1" thickBot="1" x14ac:dyDescent="0.3">
      <c r="B341" s="1845" t="s">
        <v>0</v>
      </c>
      <c r="C341" s="1766">
        <v>20000</v>
      </c>
      <c r="D341" s="1766">
        <v>20000</v>
      </c>
      <c r="E341" s="1766">
        <v>20000</v>
      </c>
      <c r="F341" s="1766">
        <v>20000</v>
      </c>
    </row>
    <row r="342" spans="2:6" ht="20.100000000000001" customHeight="1" thickBot="1" x14ac:dyDescent="0.3">
      <c r="B342" s="1845" t="s">
        <v>49</v>
      </c>
      <c r="C342" s="1766">
        <v>4000</v>
      </c>
      <c r="D342" s="1766">
        <v>4000</v>
      </c>
      <c r="E342" s="1766">
        <v>4000</v>
      </c>
      <c r="F342" s="1766">
        <v>4000</v>
      </c>
    </row>
    <row r="343" spans="2:6" ht="20.100000000000001" customHeight="1" thickBot="1" x14ac:dyDescent="0.3">
      <c r="B343" s="1845" t="s">
        <v>1</v>
      </c>
      <c r="C343" s="1767">
        <v>21900</v>
      </c>
      <c r="D343" s="1766">
        <v>5200</v>
      </c>
      <c r="E343" s="1766">
        <v>11800</v>
      </c>
      <c r="F343" s="1766">
        <v>16400</v>
      </c>
    </row>
    <row r="344" spans="2:6" ht="20.100000000000001" customHeight="1" thickBot="1" x14ac:dyDescent="0.3">
      <c r="B344" s="1845" t="s">
        <v>2</v>
      </c>
      <c r="C344" s="1767"/>
      <c r="D344" s="1766"/>
      <c r="E344" s="1766"/>
      <c r="F344" s="1766"/>
    </row>
    <row r="345" spans="2:6" ht="20.100000000000001" customHeight="1" thickBot="1" x14ac:dyDescent="0.3">
      <c r="B345" s="1845" t="s">
        <v>28</v>
      </c>
      <c r="C345" s="1767">
        <v>0</v>
      </c>
      <c r="D345" s="1767"/>
      <c r="E345" s="1767"/>
      <c r="F345" s="1767"/>
    </row>
    <row r="346" spans="2:6" ht="20.100000000000001" customHeight="1" thickBot="1" x14ac:dyDescent="0.3">
      <c r="B346" s="1845" t="s">
        <v>30</v>
      </c>
      <c r="C346" s="1767">
        <v>1800</v>
      </c>
      <c r="D346" s="1766">
        <v>25000</v>
      </c>
      <c r="E346" s="1766">
        <v>25000</v>
      </c>
      <c r="F346" s="1766">
        <v>25000</v>
      </c>
    </row>
    <row r="347" spans="2:6" ht="20.100000000000001" customHeight="1" thickBot="1" x14ac:dyDescent="0.3">
      <c r="B347" s="1845" t="s">
        <v>3</v>
      </c>
      <c r="C347" s="1767"/>
      <c r="D347" s="1766"/>
      <c r="E347" s="1766"/>
      <c r="F347" s="1766"/>
    </row>
    <row r="348" spans="2:6" ht="20.100000000000001" customHeight="1" thickBot="1" x14ac:dyDescent="0.3">
      <c r="B348" s="1861" t="s">
        <v>72</v>
      </c>
      <c r="C348" s="1778">
        <f>SUM(C341:C347)</f>
        <v>47700</v>
      </c>
      <c r="D348" s="1778">
        <f>SUM(D341:D347)</f>
        <v>54200</v>
      </c>
      <c r="E348" s="1778">
        <f>SUM(E341:E347)</f>
        <v>60800</v>
      </c>
      <c r="F348" s="1778">
        <f>SUM(F341:F347)</f>
        <v>65400</v>
      </c>
    </row>
    <row r="349" spans="2:6" ht="20.100000000000001" customHeight="1" thickBot="1" x14ac:dyDescent="0.3">
      <c r="B349" s="1846" t="s">
        <v>70</v>
      </c>
      <c r="C349" s="1753">
        <f>C348-C333</f>
        <v>0</v>
      </c>
      <c r="D349" s="1753">
        <f>D348-D333</f>
        <v>0</v>
      </c>
      <c r="E349" s="1753">
        <f>E348-E333</f>
        <v>0</v>
      </c>
      <c r="F349" s="1753">
        <f>F348-F333</f>
        <v>0</v>
      </c>
    </row>
    <row r="350" spans="2:6" ht="20.100000000000001" customHeight="1" thickBot="1" x14ac:dyDescent="0.3">
      <c r="B350" s="3073" t="s">
        <v>630</v>
      </c>
      <c r="C350" s="3074"/>
      <c r="D350" s="3074"/>
      <c r="E350" s="3074"/>
      <c r="F350" s="3075"/>
    </row>
    <row r="351" spans="2:6" ht="20.100000000000001" customHeight="1" thickBot="1" x14ac:dyDescent="0.3">
      <c r="B351" s="3073" t="s">
        <v>100</v>
      </c>
      <c r="C351" s="3074"/>
      <c r="D351" s="3074"/>
      <c r="E351" s="3074"/>
      <c r="F351" s="3075"/>
    </row>
    <row r="352" spans="2:6" ht="20.100000000000001" customHeight="1" thickBot="1" x14ac:dyDescent="0.3">
      <c r="B352" s="3073" t="s">
        <v>106</v>
      </c>
      <c r="C352" s="3074"/>
      <c r="D352" s="3074"/>
      <c r="E352" s="3074"/>
      <c r="F352" s="3075"/>
    </row>
    <row r="353" spans="2:10" ht="20.100000000000001" customHeight="1" thickBot="1" x14ac:dyDescent="0.3">
      <c r="B353" s="1846" t="s">
        <v>45</v>
      </c>
      <c r="C353" s="2596" t="s">
        <v>934</v>
      </c>
      <c r="D353" s="2597"/>
      <c r="E353" s="2597"/>
      <c r="F353" s="2598"/>
    </row>
    <row r="354" spans="2:10" ht="59.25" customHeight="1" thickBot="1" x14ac:dyDescent="0.3">
      <c r="B354" s="1845" t="s">
        <v>10</v>
      </c>
      <c r="C354" s="2602" t="s">
        <v>935</v>
      </c>
      <c r="D354" s="2603"/>
      <c r="E354" s="2603"/>
      <c r="F354" s="2604"/>
    </row>
    <row r="355" spans="2:10" ht="20.100000000000001" customHeight="1" thickBot="1" x14ac:dyDescent="0.3">
      <c r="B355" s="1845" t="s">
        <v>13</v>
      </c>
      <c r="C355" s="2593" t="s">
        <v>936</v>
      </c>
      <c r="D355" s="2594"/>
      <c r="E355" s="2594"/>
      <c r="F355" s="2595"/>
    </row>
    <row r="356" spans="2:10" ht="20.100000000000001" customHeight="1" x14ac:dyDescent="0.25">
      <c r="B356" s="3076"/>
      <c r="C356" s="1728">
        <v>2018</v>
      </c>
      <c r="D356" s="1728">
        <v>2019</v>
      </c>
      <c r="E356" s="1728">
        <v>2020</v>
      </c>
      <c r="F356" s="1728">
        <v>2021</v>
      </c>
    </row>
    <row r="357" spans="2:10" ht="20.100000000000001" customHeight="1" thickBot="1" x14ac:dyDescent="0.3">
      <c r="B357" s="3077"/>
      <c r="C357" s="1748" t="s">
        <v>6</v>
      </c>
      <c r="D357" s="1748" t="s">
        <v>7</v>
      </c>
      <c r="E357" s="1748" t="s">
        <v>7</v>
      </c>
      <c r="F357" s="1748" t="s">
        <v>7</v>
      </c>
    </row>
    <row r="358" spans="2:10" ht="20.100000000000001" customHeight="1" thickBot="1" x14ac:dyDescent="0.3">
      <c r="B358" s="1845" t="s">
        <v>9</v>
      </c>
      <c r="C358" s="1847">
        <v>2</v>
      </c>
      <c r="D358" s="1847">
        <v>3</v>
      </c>
      <c r="E358" s="1847">
        <v>3</v>
      </c>
      <c r="F358" s="1847">
        <v>3</v>
      </c>
    </row>
    <row r="359" spans="2:10" ht="20.100000000000001" customHeight="1" thickBot="1" x14ac:dyDescent="0.3">
      <c r="B359" s="1845" t="s">
        <v>14</v>
      </c>
      <c r="C359" s="1847">
        <v>50000</v>
      </c>
      <c r="D359" s="1847">
        <v>100000</v>
      </c>
      <c r="E359" s="1847">
        <v>100000</v>
      </c>
      <c r="F359" s="1847">
        <v>100000</v>
      </c>
      <c r="G359" s="1837"/>
      <c r="H359" s="1837"/>
      <c r="I359" s="1837"/>
      <c r="J359" s="1837"/>
    </row>
    <row r="360" spans="2:10" ht="20.100000000000001" customHeight="1" thickBot="1" x14ac:dyDescent="0.3">
      <c r="B360" s="1845" t="s">
        <v>23</v>
      </c>
      <c r="C360" s="1847">
        <f>C359/C358</f>
        <v>25000</v>
      </c>
      <c r="D360" s="1847">
        <f>D359/D358</f>
        <v>33333.333333333336</v>
      </c>
      <c r="E360" s="1847">
        <f>E359/E358</f>
        <v>33333.333333333336</v>
      </c>
      <c r="F360" s="1847">
        <f>F359/F358</f>
        <v>33333.333333333336</v>
      </c>
    </row>
    <row r="361" spans="2:10" ht="20.100000000000001" customHeight="1" thickBot="1" x14ac:dyDescent="0.3">
      <c r="B361" s="1845" t="s">
        <v>15</v>
      </c>
      <c r="C361" s="1747" t="s">
        <v>21</v>
      </c>
      <c r="D361" s="1720">
        <f>D358/C358-1</f>
        <v>0.5</v>
      </c>
      <c r="E361" s="1720">
        <f t="shared" ref="E361:F363" si="13">E358/D358-1</f>
        <v>0</v>
      </c>
      <c r="F361" s="1720">
        <f t="shared" si="13"/>
        <v>0</v>
      </c>
    </row>
    <row r="362" spans="2:10" ht="20.100000000000001" customHeight="1" thickBot="1" x14ac:dyDescent="0.3">
      <c r="B362" s="1845" t="s">
        <v>16</v>
      </c>
      <c r="C362" s="1747" t="s">
        <v>21</v>
      </c>
      <c r="D362" s="1720">
        <f>D359/C359-1</f>
        <v>1</v>
      </c>
      <c r="E362" s="1720">
        <f t="shared" si="13"/>
        <v>0</v>
      </c>
      <c r="F362" s="1720">
        <f t="shared" si="13"/>
        <v>0</v>
      </c>
    </row>
    <row r="363" spans="2:10" ht="20.100000000000001" customHeight="1" thickBot="1" x14ac:dyDescent="0.3">
      <c r="B363" s="1845" t="s">
        <v>17</v>
      </c>
      <c r="C363" s="1747" t="s">
        <v>21</v>
      </c>
      <c r="D363" s="1720">
        <f>D360/C360-1</f>
        <v>0.33333333333333348</v>
      </c>
      <c r="E363" s="1720">
        <f t="shared" si="13"/>
        <v>0</v>
      </c>
      <c r="F363" s="1720">
        <f t="shared" si="13"/>
        <v>0</v>
      </c>
    </row>
    <row r="364" spans="2:10" ht="20.100000000000001" customHeight="1" thickBot="1" x14ac:dyDescent="0.3">
      <c r="B364" s="3078" t="s">
        <v>1177</v>
      </c>
      <c r="C364" s="3079"/>
      <c r="D364" s="3079"/>
      <c r="E364" s="3079"/>
      <c r="F364" s="3080"/>
    </row>
    <row r="365" spans="2:10" ht="20.100000000000001" customHeight="1" x14ac:dyDescent="0.25">
      <c r="B365" s="3076"/>
      <c r="C365" s="1728">
        <v>2018</v>
      </c>
      <c r="D365" s="1728">
        <v>2019</v>
      </c>
      <c r="E365" s="1728">
        <v>2020</v>
      </c>
      <c r="F365" s="1728">
        <v>2021</v>
      </c>
    </row>
    <row r="366" spans="2:10" ht="20.100000000000001" customHeight="1" thickBot="1" x14ac:dyDescent="0.3">
      <c r="B366" s="3077"/>
      <c r="C366" s="1748" t="s">
        <v>6</v>
      </c>
      <c r="D366" s="1748" t="s">
        <v>7</v>
      </c>
      <c r="E366" s="1748" t="s">
        <v>7</v>
      </c>
      <c r="F366" s="1748" t="s">
        <v>7</v>
      </c>
    </row>
    <row r="367" spans="2:10" ht="20.100000000000001" customHeight="1" thickBot="1" x14ac:dyDescent="0.3">
      <c r="B367" s="1845" t="s">
        <v>104</v>
      </c>
      <c r="C367" s="1766"/>
      <c r="D367" s="1766"/>
      <c r="E367" s="1766"/>
      <c r="F367" s="1766"/>
    </row>
    <row r="368" spans="2:10" ht="20.100000000000001" customHeight="1" thickBot="1" x14ac:dyDescent="0.3">
      <c r="B368" s="1845" t="s">
        <v>105</v>
      </c>
      <c r="C368" s="1767">
        <f>C359</f>
        <v>50000</v>
      </c>
      <c r="D368" s="1767">
        <f>D359</f>
        <v>100000</v>
      </c>
      <c r="E368" s="1767">
        <f>E359</f>
        <v>100000</v>
      </c>
      <c r="F368" s="1767">
        <f>F359</f>
        <v>100000</v>
      </c>
    </row>
    <row r="369" spans="2:17" ht="20.100000000000001" customHeight="1" thickBot="1" x14ac:dyDescent="0.3">
      <c r="B369" s="1848" t="s">
        <v>68</v>
      </c>
      <c r="C369" s="1767">
        <f>C368</f>
        <v>50000</v>
      </c>
      <c r="D369" s="1767">
        <f>D368</f>
        <v>100000</v>
      </c>
      <c r="E369" s="1767">
        <f>E368</f>
        <v>100000</v>
      </c>
      <c r="F369" s="1767">
        <f>F368</f>
        <v>100000</v>
      </c>
      <c r="G369" s="1836"/>
      <c r="H369" s="1836"/>
      <c r="I369" s="1836"/>
      <c r="J369" s="1836"/>
      <c r="M369" s="1082"/>
      <c r="N369" s="1082"/>
      <c r="O369" s="1082"/>
      <c r="P369" s="1082"/>
      <c r="Q369" s="1082"/>
    </row>
    <row r="370" spans="2:17" ht="20.100000000000001" customHeight="1" thickBot="1" x14ac:dyDescent="0.3">
      <c r="B370" s="1846" t="s">
        <v>70</v>
      </c>
      <c r="C370" s="1753">
        <f>C369-C359</f>
        <v>0</v>
      </c>
      <c r="D370" s="1753">
        <f>D369-D359</f>
        <v>0</v>
      </c>
      <c r="E370" s="1753">
        <f>E369-E359</f>
        <v>0</v>
      </c>
      <c r="F370" s="1753">
        <f>F369-F359</f>
        <v>0</v>
      </c>
      <c r="G370" s="1836"/>
      <c r="H370" s="1836"/>
      <c r="I370" s="1836"/>
      <c r="J370" s="1836"/>
      <c r="M370" s="1082"/>
      <c r="N370" s="1082"/>
      <c r="O370" s="1082"/>
      <c r="P370" s="1082"/>
      <c r="Q370" s="1082"/>
    </row>
    <row r="371" spans="2:17" ht="20.100000000000001" customHeight="1" thickBot="1" x14ac:dyDescent="0.3">
      <c r="B371" s="1846"/>
      <c r="C371" s="1753"/>
      <c r="D371" s="1753"/>
      <c r="E371" s="1753"/>
      <c r="F371" s="1753"/>
      <c r="G371" s="1836"/>
      <c r="H371" s="1836"/>
      <c r="I371" s="1836"/>
      <c r="J371" s="1836"/>
      <c r="M371" s="1082"/>
      <c r="N371" s="1082"/>
      <c r="O371" s="1082"/>
      <c r="P371" s="1082"/>
      <c r="Q371" s="1082"/>
    </row>
    <row r="372" spans="2:17" ht="20.100000000000001" customHeight="1" thickBot="1" x14ac:dyDescent="0.3">
      <c r="B372" s="1844" t="s">
        <v>116</v>
      </c>
      <c r="C372" s="1753">
        <f>C42+C66+C94+C113+C137+C163+C187+C212+C237+C261+C285+C309+C333+C359</f>
        <v>522316</v>
      </c>
      <c r="D372" s="1753">
        <f>D42+D66+D94+D113+D137+D163+D187+D212+D237+D261+D285+D309+D333+D359</f>
        <v>700000</v>
      </c>
      <c r="E372" s="1753">
        <f>E42+E66+E94+E113+E137+E163+E187+E212+E237+E261+E285+E309+E333+E359</f>
        <v>750000</v>
      </c>
      <c r="F372" s="1753">
        <f>F42+F66+F94+F113+F137+F163+F187+F212+F237+F261+F285+F309+F333+F359</f>
        <v>780000</v>
      </c>
      <c r="G372" s="1836"/>
      <c r="H372" s="1836"/>
      <c r="I372" s="1836"/>
      <c r="J372" s="1836"/>
      <c r="M372" s="1082"/>
      <c r="N372" s="1082"/>
      <c r="O372" s="1082"/>
      <c r="P372" s="1082"/>
      <c r="Q372" s="1082"/>
    </row>
    <row r="373" spans="2:17" ht="20.100000000000001" customHeight="1" thickBot="1" x14ac:dyDescent="0.3">
      <c r="B373" s="1844" t="s">
        <v>117</v>
      </c>
      <c r="C373" s="1753">
        <f>C375+C377+C379+C381+C383+C385+C387+C389+C391</f>
        <v>522316</v>
      </c>
      <c r="D373" s="1753">
        <f t="shared" ref="D373:F373" si="14">D375+D377+D379+D381+D383+D385+D387+D389+D391</f>
        <v>700000</v>
      </c>
      <c r="E373" s="1753">
        <f t="shared" si="14"/>
        <v>750000</v>
      </c>
      <c r="F373" s="1753">
        <f t="shared" si="14"/>
        <v>780000</v>
      </c>
      <c r="G373" s="1836"/>
      <c r="H373" s="1836"/>
      <c r="I373" s="1836"/>
      <c r="J373" s="1836"/>
      <c r="M373" s="1082"/>
      <c r="N373" s="1082"/>
      <c r="O373" s="1082"/>
      <c r="P373" s="1082"/>
      <c r="Q373" s="1082"/>
    </row>
    <row r="374" spans="2:17" ht="20.100000000000001" customHeight="1" thickBot="1" x14ac:dyDescent="0.3">
      <c r="B374" s="1862" t="s">
        <v>24</v>
      </c>
      <c r="C374" s="1778"/>
      <c r="D374" s="1779">
        <f>D373/C373-1</f>
        <v>0.34018486892991984</v>
      </c>
      <c r="E374" s="1779">
        <f>E373/D373-1</f>
        <v>7.1428571428571397E-2</v>
      </c>
      <c r="F374" s="1779">
        <f>F373/E373-1</f>
        <v>4.0000000000000036E-2</v>
      </c>
      <c r="G374" s="1836"/>
      <c r="H374" s="1836"/>
      <c r="I374" s="1836"/>
      <c r="J374" s="1836"/>
      <c r="M374" s="1082"/>
      <c r="N374" s="1082"/>
      <c r="O374" s="1082"/>
      <c r="P374" s="1082"/>
      <c r="Q374" s="1082"/>
    </row>
    <row r="375" spans="2:17" ht="20.100000000000001" customHeight="1" thickBot="1" x14ac:dyDescent="0.3">
      <c r="B375" s="1845" t="s">
        <v>0</v>
      </c>
      <c r="C375" s="1863">
        <f>C50+C74+C121+C145+C171+C195+C220+C245+C269+C293+C317+C341</f>
        <v>47000</v>
      </c>
      <c r="D375" s="1863">
        <f>D50+D74+D121+D145+D171+D195+D220+D245+D269+D293+D317+D341</f>
        <v>47000</v>
      </c>
      <c r="E375" s="1863">
        <f>E50+E74+E121+E145+E171+E195+E220+E245+E269+E293+E317+E341</f>
        <v>47000</v>
      </c>
      <c r="F375" s="1863">
        <f>F50+F74+F121+F145+F171+F195+F220+F245+F269+F293+F317+F341</f>
        <v>47000</v>
      </c>
      <c r="G375" s="1836"/>
      <c r="H375" s="1836"/>
      <c r="I375" s="1836"/>
      <c r="J375" s="1836"/>
      <c r="M375" s="1082"/>
      <c r="N375" s="1082"/>
      <c r="O375" s="1082"/>
      <c r="P375" s="1082"/>
      <c r="Q375" s="1082"/>
    </row>
    <row r="376" spans="2:17" ht="20.100000000000001" customHeight="1" thickBot="1" x14ac:dyDescent="0.3">
      <c r="B376" s="1838" t="s">
        <v>25</v>
      </c>
      <c r="C376" s="1864"/>
      <c r="D376" s="1864"/>
      <c r="E376" s="1864"/>
      <c r="F376" s="1864"/>
      <c r="G376" s="1836"/>
      <c r="H376" s="1836"/>
      <c r="I376" s="1836"/>
      <c r="J376" s="1836"/>
      <c r="M376" s="1082"/>
      <c r="N376" s="1082"/>
      <c r="O376" s="1082"/>
      <c r="P376" s="1082"/>
      <c r="Q376" s="1082"/>
    </row>
    <row r="377" spans="2:17" ht="20.100000000000001" customHeight="1" thickBot="1" x14ac:dyDescent="0.3">
      <c r="B377" s="1845" t="s">
        <v>49</v>
      </c>
      <c r="C377" s="1863">
        <f>C51+C75+C122+C146+C172+C196+C221+C246+C270+C318+C342</f>
        <v>9000</v>
      </c>
      <c r="D377" s="1863">
        <f>D51+D75+D122+D146+D172+D196+D221+D246+D270+D318+D342</f>
        <v>9000</v>
      </c>
      <c r="E377" s="1863">
        <f>E51+E75+E122+E146+E172+E196+E221+E246+E270+E318+E342</f>
        <v>9000</v>
      </c>
      <c r="F377" s="1863">
        <f>F51+F75+F122+F146+F172+F196+F221+F246+F270+F318+F342</f>
        <v>9000</v>
      </c>
      <c r="G377" s="1836"/>
      <c r="H377" s="1836"/>
      <c r="I377" s="1836"/>
      <c r="J377" s="1836"/>
      <c r="M377" s="1082"/>
      <c r="N377" s="1082"/>
      <c r="O377" s="1082"/>
      <c r="P377" s="1082"/>
      <c r="Q377" s="1082"/>
    </row>
    <row r="378" spans="2:17" ht="20.100000000000001" customHeight="1" thickBot="1" x14ac:dyDescent="0.3">
      <c r="B378" s="1838" t="s">
        <v>50</v>
      </c>
      <c r="C378" s="1767"/>
      <c r="D378" s="1781">
        <f>D377/C377-1</f>
        <v>0</v>
      </c>
      <c r="E378" s="1781">
        <f>E377/D377-1</f>
        <v>0</v>
      </c>
      <c r="F378" s="1781">
        <f>F377/E377-1</f>
        <v>0</v>
      </c>
      <c r="G378" s="1836"/>
      <c r="H378" s="1836"/>
      <c r="I378" s="1836"/>
      <c r="J378" s="1836"/>
      <c r="M378" s="1082"/>
      <c r="N378" s="1082"/>
      <c r="O378" s="1082"/>
      <c r="P378" s="1082"/>
      <c r="Q378" s="1082"/>
    </row>
    <row r="379" spans="2:17" ht="20.100000000000001" customHeight="1" thickBot="1" x14ac:dyDescent="0.3">
      <c r="B379" s="1845" t="s">
        <v>1</v>
      </c>
      <c r="C379" s="1863">
        <f>C52+C76+C123+C146+C173+C197+C222+C247+C271+C295+C318+C343</f>
        <v>48000</v>
      </c>
      <c r="D379" s="1863">
        <f>D52+D76+D123+D146+D173+D197+D222+D247+D271+D295+D318+D343</f>
        <v>29300</v>
      </c>
      <c r="E379" s="1863">
        <f>E52+E76+E123+E146+E173+E197+E222+E247+E271+E295+E318+E343</f>
        <v>35900</v>
      </c>
      <c r="F379" s="1863">
        <f>F52+F76+F123+F146+F173+F197+F222+F247+F271+F295+F318+F343</f>
        <v>40500</v>
      </c>
      <c r="G379" s="1836"/>
      <c r="H379" s="1836"/>
      <c r="I379" s="1836"/>
      <c r="J379" s="1836"/>
      <c r="M379" s="1082"/>
      <c r="N379" s="1082"/>
      <c r="O379" s="1082"/>
      <c r="P379" s="1082"/>
      <c r="Q379" s="1082"/>
    </row>
    <row r="380" spans="2:17" ht="20.100000000000001" customHeight="1" thickBot="1" x14ac:dyDescent="0.3">
      <c r="B380" s="1838" t="s">
        <v>26</v>
      </c>
      <c r="C380" s="1767"/>
      <c r="D380" s="1781">
        <f>D379/C379-1</f>
        <v>-0.38958333333333328</v>
      </c>
      <c r="E380" s="1781">
        <f>E379/D379-1</f>
        <v>0.22525597269624575</v>
      </c>
      <c r="F380" s="1781">
        <f>F379/E379-1</f>
        <v>0.12813370473537611</v>
      </c>
    </row>
    <row r="381" spans="2:17" ht="20.100000000000001" customHeight="1" thickBot="1" x14ac:dyDescent="0.3">
      <c r="B381" s="1845" t="s">
        <v>2</v>
      </c>
      <c r="C381" s="1766">
        <v>0</v>
      </c>
      <c r="D381" s="1766">
        <v>0</v>
      </c>
      <c r="E381" s="1766">
        <v>0</v>
      </c>
      <c r="F381" s="1766">
        <v>0</v>
      </c>
    </row>
    <row r="382" spans="2:17" ht="20.100000000000001" customHeight="1" thickBot="1" x14ac:dyDescent="0.3">
      <c r="B382" s="1838" t="s">
        <v>27</v>
      </c>
      <c r="C382" s="1767"/>
      <c r="D382" s="1781">
        <v>0</v>
      </c>
      <c r="E382" s="1781">
        <v>0</v>
      </c>
      <c r="F382" s="1781">
        <v>0</v>
      </c>
    </row>
    <row r="383" spans="2:17" ht="20.100000000000001" customHeight="1" thickBot="1" x14ac:dyDescent="0.3">
      <c r="B383" s="1845" t="s">
        <v>28</v>
      </c>
      <c r="C383" s="1766">
        <f>C54+C78+C125+C149+C175+C224+C249+C273+C297+C321+C345+C199</f>
        <v>101500</v>
      </c>
      <c r="D383" s="1766">
        <f>D54+D78+D125+D149+D175+D224+D249+D273+D297+D321+D345+D199</f>
        <v>134500</v>
      </c>
      <c r="E383" s="1766">
        <f>E54+E78+E125+E149+E175+E224+E249+E273+E297+E321+E345+E199</f>
        <v>177900</v>
      </c>
      <c r="F383" s="1766">
        <f>F54+F78+F125+F149+F175+F224+F249+F273+F297+F321+F345+F199</f>
        <v>203300</v>
      </c>
    </row>
    <row r="384" spans="2:17" ht="20.100000000000001" customHeight="1" thickBot="1" x14ac:dyDescent="0.3">
      <c r="B384" s="1838" t="s">
        <v>29</v>
      </c>
      <c r="C384" s="1767"/>
      <c r="D384" s="1781">
        <v>0</v>
      </c>
      <c r="E384" s="1781">
        <v>0</v>
      </c>
      <c r="F384" s="1781">
        <v>0</v>
      </c>
    </row>
    <row r="385" spans="2:6" ht="20.100000000000001" customHeight="1" thickBot="1" x14ac:dyDescent="0.3">
      <c r="B385" s="1845" t="s">
        <v>30</v>
      </c>
      <c r="C385" s="1766">
        <f>C55+C79+C126+C150+C176+C200+C225+C250+C274+C298+C322+C346</f>
        <v>7000</v>
      </c>
      <c r="D385" s="1766">
        <f>D55+D79+D126+D150+D176+D200+D225+D250+D274+D298+D322+D346</f>
        <v>30200</v>
      </c>
      <c r="E385" s="1766">
        <f>E55+E79+E126+E150+E176+E200+E225+E250+E274+E298+E322+E346</f>
        <v>30200</v>
      </c>
      <c r="F385" s="1766">
        <f>F55+F79+F126+F150+F176+F200+F225+F250+F274+F298+F322+F346</f>
        <v>30200</v>
      </c>
    </row>
    <row r="386" spans="2:6" ht="20.100000000000001" customHeight="1" thickBot="1" x14ac:dyDescent="0.3">
      <c r="B386" s="1838" t="s">
        <v>31</v>
      </c>
      <c r="C386" s="1767"/>
      <c r="D386" s="1781">
        <v>0</v>
      </c>
      <c r="E386" s="1781">
        <v>0</v>
      </c>
      <c r="F386" s="1781">
        <v>0</v>
      </c>
    </row>
    <row r="387" spans="2:6" ht="20.100000000000001" customHeight="1" thickBot="1" x14ac:dyDescent="0.3">
      <c r="B387" s="1845" t="s">
        <v>3</v>
      </c>
      <c r="C387" s="1766">
        <v>0</v>
      </c>
      <c r="D387" s="1766">
        <v>0</v>
      </c>
      <c r="E387" s="1766">
        <v>0</v>
      </c>
      <c r="F387" s="1766">
        <v>0</v>
      </c>
    </row>
    <row r="388" spans="2:6" ht="20.100000000000001" customHeight="1" thickBot="1" x14ac:dyDescent="0.3">
      <c r="B388" s="1838" t="s">
        <v>32</v>
      </c>
      <c r="C388" s="1767"/>
      <c r="D388" s="1781">
        <v>0</v>
      </c>
      <c r="E388" s="1781">
        <v>0</v>
      </c>
      <c r="F388" s="1781">
        <v>0</v>
      </c>
    </row>
    <row r="389" spans="2:6" ht="20.100000000000001" customHeight="1" thickBot="1" x14ac:dyDescent="0.3">
      <c r="B389" s="1845" t="s">
        <v>18</v>
      </c>
      <c r="C389" s="1766">
        <f>C102+C367</f>
        <v>0</v>
      </c>
      <c r="D389" s="1766">
        <f>D102+D367</f>
        <v>0</v>
      </c>
      <c r="E389" s="1766">
        <f>E102+E367</f>
        <v>0</v>
      </c>
      <c r="F389" s="1766">
        <f>F102+F367</f>
        <v>0</v>
      </c>
    </row>
    <row r="390" spans="2:6" ht="20.100000000000001" customHeight="1" thickBot="1" x14ac:dyDescent="0.3">
      <c r="B390" s="1838" t="s">
        <v>33</v>
      </c>
      <c r="C390" s="1766"/>
      <c r="D390" s="1781">
        <v>0</v>
      </c>
      <c r="E390" s="1781">
        <v>0</v>
      </c>
      <c r="F390" s="1781">
        <v>0</v>
      </c>
    </row>
    <row r="391" spans="2:6" ht="20.100000000000001" customHeight="1" thickBot="1" x14ac:dyDescent="0.3">
      <c r="B391" s="1844" t="s">
        <v>19</v>
      </c>
      <c r="C391" s="1766">
        <f>C103+C368</f>
        <v>309816</v>
      </c>
      <c r="D391" s="1766">
        <f>D103+D368</f>
        <v>450000</v>
      </c>
      <c r="E391" s="1766">
        <f>E103+E368</f>
        <v>450000</v>
      </c>
      <c r="F391" s="1766">
        <f>F103+F368</f>
        <v>450000</v>
      </c>
    </row>
    <row r="392" spans="2:6" ht="20.100000000000001" customHeight="1" thickBot="1" x14ac:dyDescent="0.3">
      <c r="B392" s="1838" t="s">
        <v>34</v>
      </c>
      <c r="C392" s="1767"/>
      <c r="D392" s="1781">
        <f>D391/C391-1</f>
        <v>0.45247501742970031</v>
      </c>
      <c r="E392" s="1781">
        <f>E391/D391-1</f>
        <v>0</v>
      </c>
      <c r="F392" s="1781">
        <f>F391/E391-1</f>
        <v>0</v>
      </c>
    </row>
    <row r="393" spans="2:6" ht="20.100000000000001" customHeight="1" thickBot="1" x14ac:dyDescent="0.3">
      <c r="B393" s="1865" t="s">
        <v>549</v>
      </c>
      <c r="C393" s="1753">
        <f>C375+C377+C379+C381+C383+C385+C387+C389+C391</f>
        <v>522316</v>
      </c>
      <c r="D393" s="1753">
        <f>D375+D377+D379+D381+D383+D385+D387+D389+D391</f>
        <v>700000</v>
      </c>
      <c r="E393" s="1753">
        <f>E375+E377+E379+E381+E383+E385+E387+E389+E391</f>
        <v>750000</v>
      </c>
      <c r="F393" s="1753">
        <f>F375+F377+F379+F381+F383+F385+F387+F389+F391</f>
        <v>780000</v>
      </c>
    </row>
    <row r="394" spans="2:6" ht="20.100000000000001" customHeight="1" thickBot="1" x14ac:dyDescent="0.3">
      <c r="B394" s="1846" t="s">
        <v>70</v>
      </c>
      <c r="C394" s="1753">
        <f>C393-C372</f>
        <v>0</v>
      </c>
      <c r="D394" s="1753">
        <f>D393-D372</f>
        <v>0</v>
      </c>
      <c r="E394" s="1753">
        <f>E393-E372</f>
        <v>0</v>
      </c>
      <c r="F394" s="1753">
        <f>F393-F372</f>
        <v>0</v>
      </c>
    </row>
    <row r="395" spans="2:6" ht="20.100000000000001" customHeight="1" thickBot="1" x14ac:dyDescent="0.3">
      <c r="B395" s="1844" t="s">
        <v>55</v>
      </c>
      <c r="C395" s="1766">
        <f>C152</f>
        <v>5000</v>
      </c>
      <c r="D395" s="1766">
        <f>D152</f>
        <v>6200</v>
      </c>
      <c r="E395" s="1766">
        <f>E152</f>
        <v>6400</v>
      </c>
      <c r="F395" s="1766">
        <f>F152</f>
        <v>6600</v>
      </c>
    </row>
    <row r="396" spans="2:6" ht="20.100000000000001" customHeight="1" thickBot="1" x14ac:dyDescent="0.3">
      <c r="B396" s="1844" t="s">
        <v>64</v>
      </c>
      <c r="C396" s="1766" t="s">
        <v>21</v>
      </c>
      <c r="D396" s="1766" t="s">
        <v>21</v>
      </c>
      <c r="E396" s="1766" t="s">
        <v>21</v>
      </c>
      <c r="F396" s="1766" t="s">
        <v>21</v>
      </c>
    </row>
    <row r="397" spans="2:6" ht="12.6" customHeight="1" x14ac:dyDescent="0.25">
      <c r="B397" s="1866"/>
      <c r="C397" s="1867"/>
      <c r="D397" s="1867"/>
      <c r="E397" s="1867"/>
      <c r="F397" s="1867"/>
    </row>
    <row r="405" spans="2:2" ht="12.6" customHeight="1" x14ac:dyDescent="0.25">
      <c r="B405" s="1868"/>
    </row>
    <row r="406" spans="2:2" ht="12.6" customHeight="1" x14ac:dyDescent="0.25">
      <c r="B406" s="1868"/>
    </row>
    <row r="407" spans="2:2" ht="12.6" customHeight="1" x14ac:dyDescent="0.25">
      <c r="B407" s="1868"/>
    </row>
    <row r="408" spans="2:2" ht="12.6" customHeight="1" x14ac:dyDescent="0.25">
      <c r="B408" s="1868"/>
    </row>
    <row r="409" spans="2:2" ht="12.6" customHeight="1" x14ac:dyDescent="0.25">
      <c r="B409" s="1868"/>
    </row>
    <row r="410" spans="2:2" ht="12.6" customHeight="1" x14ac:dyDescent="0.25">
      <c r="B410" s="1868"/>
    </row>
  </sheetData>
  <mergeCells count="120">
    <mergeCell ref="B1:F1"/>
    <mergeCell ref="C2:F2"/>
    <mergeCell ref="C3:F3"/>
    <mergeCell ref="C4:F4"/>
    <mergeCell ref="B30:F30"/>
    <mergeCell ref="B34:F34"/>
    <mergeCell ref="B35:F35"/>
    <mergeCell ref="C36:F36"/>
    <mergeCell ref="C37:F37"/>
    <mergeCell ref="C38:F38"/>
    <mergeCell ref="B5:F5"/>
    <mergeCell ref="B6:F10"/>
    <mergeCell ref="B11:F11"/>
    <mergeCell ref="B12:F17"/>
    <mergeCell ref="B18:B19"/>
    <mergeCell ref="C29:F29"/>
    <mergeCell ref="C62:F62"/>
    <mergeCell ref="B63:B64"/>
    <mergeCell ref="B71:F71"/>
    <mergeCell ref="B72:B73"/>
    <mergeCell ref="B83:F83"/>
    <mergeCell ref="B84:F84"/>
    <mergeCell ref="B39:B40"/>
    <mergeCell ref="B47:F47"/>
    <mergeCell ref="B48:B49"/>
    <mergeCell ref="B59:F59"/>
    <mergeCell ref="C60:F60"/>
    <mergeCell ref="C61:F61"/>
    <mergeCell ref="B91:B92"/>
    <mergeCell ref="B99:F99"/>
    <mergeCell ref="B100:B101"/>
    <mergeCell ref="B106:F106"/>
    <mergeCell ref="C107:F107"/>
    <mergeCell ref="C108:F108"/>
    <mergeCell ref="B85:F85"/>
    <mergeCell ref="C86:F86"/>
    <mergeCell ref="C87:F87"/>
    <mergeCell ref="B88:B89"/>
    <mergeCell ref="C88:F89"/>
    <mergeCell ref="C90:F90"/>
    <mergeCell ref="C132:F132"/>
    <mergeCell ref="C133:F133"/>
    <mergeCell ref="B134:B135"/>
    <mergeCell ref="B142:F142"/>
    <mergeCell ref="B143:B144"/>
    <mergeCell ref="B154:F154"/>
    <mergeCell ref="C109:F109"/>
    <mergeCell ref="B110:B111"/>
    <mergeCell ref="B118:F118"/>
    <mergeCell ref="B119:B120"/>
    <mergeCell ref="B130:F130"/>
    <mergeCell ref="C131:F131"/>
    <mergeCell ref="B160:B161"/>
    <mergeCell ref="B168:F168"/>
    <mergeCell ref="B169:B170"/>
    <mergeCell ref="B180:F180"/>
    <mergeCell ref="C181:F181"/>
    <mergeCell ref="C182:F182"/>
    <mergeCell ref="B155:F155"/>
    <mergeCell ref="C156:F156"/>
    <mergeCell ref="B157:B158"/>
    <mergeCell ref="C157:F158"/>
    <mergeCell ref="C159:F159"/>
    <mergeCell ref="B206:B207"/>
    <mergeCell ref="C206:F207"/>
    <mergeCell ref="C208:F208"/>
    <mergeCell ref="B209:B210"/>
    <mergeCell ref="B217:F217"/>
    <mergeCell ref="B218:B219"/>
    <mergeCell ref="C183:F183"/>
    <mergeCell ref="B184:B185"/>
    <mergeCell ref="B192:F192"/>
    <mergeCell ref="B193:B194"/>
    <mergeCell ref="B204:F204"/>
    <mergeCell ref="C205:F205"/>
    <mergeCell ref="B242:F242"/>
    <mergeCell ref="B243:B244"/>
    <mergeCell ref="B254:F254"/>
    <mergeCell ref="C255:F255"/>
    <mergeCell ref="C256:F256"/>
    <mergeCell ref="C257:F257"/>
    <mergeCell ref="B229:F229"/>
    <mergeCell ref="B230:F230"/>
    <mergeCell ref="C231:F231"/>
    <mergeCell ref="C232:F232"/>
    <mergeCell ref="C233:F233"/>
    <mergeCell ref="B234:B235"/>
    <mergeCell ref="C281:F281"/>
    <mergeCell ref="B282:B283"/>
    <mergeCell ref="B290:F290"/>
    <mergeCell ref="B291:B292"/>
    <mergeCell ref="B302:F302"/>
    <mergeCell ref="C303:F303"/>
    <mergeCell ref="B258:B259"/>
    <mergeCell ref="B266:F266"/>
    <mergeCell ref="B267:B268"/>
    <mergeCell ref="B278:F278"/>
    <mergeCell ref="C279:F279"/>
    <mergeCell ref="C280:F280"/>
    <mergeCell ref="C327:F327"/>
    <mergeCell ref="C328:F328"/>
    <mergeCell ref="C329:F329"/>
    <mergeCell ref="B330:B331"/>
    <mergeCell ref="B338:F338"/>
    <mergeCell ref="B339:B340"/>
    <mergeCell ref="C304:F304"/>
    <mergeCell ref="C305:F305"/>
    <mergeCell ref="B306:B307"/>
    <mergeCell ref="B314:F314"/>
    <mergeCell ref="B315:B316"/>
    <mergeCell ref="B326:F326"/>
    <mergeCell ref="B350:F350"/>
    <mergeCell ref="B351:F351"/>
    <mergeCell ref="B352:F352"/>
    <mergeCell ref="C353:F353"/>
    <mergeCell ref="C354:F354"/>
    <mergeCell ref="C355:F355"/>
    <mergeCell ref="B356:B357"/>
    <mergeCell ref="B364:F364"/>
    <mergeCell ref="B365:B366"/>
  </mergeCells>
  <printOptions horizontalCentered="1" verticalCentered="1"/>
  <pageMargins left="0.15748031496062992" right="0.15748031496062992" top="0.47244094488188981" bottom="0.43307086614173229" header="0.31496062992125984" footer="0.31496062992125984"/>
  <pageSetup scale="69" orientation="portrait" r:id="rId1"/>
  <rowBreaks count="4" manualBreakCount="4">
    <brk id="59" max="5" man="1"/>
    <brk id="129" max="5" man="1"/>
    <brk id="228" max="5" man="1"/>
    <brk id="301" max="5" man="1"/>
  </rowBreaks>
  <colBreaks count="1" manualBreakCount="1">
    <brk id="6"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I80"/>
  <sheetViews>
    <sheetView zoomScale="170" zoomScaleNormal="170" workbookViewId="0">
      <selection activeCell="A72" sqref="A1:XFD1048576"/>
    </sheetView>
  </sheetViews>
  <sheetFormatPr defaultRowHeight="13.9" customHeight="1" x14ac:dyDescent="0.25"/>
  <cols>
    <col min="1" max="1" width="10" customWidth="1"/>
    <col min="2" max="2" width="29.7109375" customWidth="1"/>
    <col min="3" max="5" width="13.42578125" customWidth="1"/>
    <col min="6" max="6" width="18.42578125" customWidth="1"/>
    <col min="7" max="7" width="9.85546875" customWidth="1"/>
    <col min="9" max="9" width="11.28515625" customWidth="1"/>
    <col min="10" max="10" width="11.7109375" customWidth="1"/>
    <col min="11" max="11" width="13.42578125" customWidth="1"/>
  </cols>
  <sheetData>
    <row r="2" spans="2:8" ht="13.9" customHeight="1" x14ac:dyDescent="0.25">
      <c r="B2" s="2293" t="s">
        <v>85</v>
      </c>
      <c r="C2" s="2293"/>
      <c r="D2" s="2293"/>
      <c r="E2" s="2293"/>
      <c r="F2" s="2293"/>
      <c r="G2" s="10"/>
    </row>
    <row r="3" spans="2:8" ht="13.9" customHeight="1" x14ac:dyDescent="0.25">
      <c r="B3" s="2294" t="s">
        <v>43</v>
      </c>
      <c r="C3" s="2294"/>
      <c r="D3" s="2294"/>
      <c r="E3" s="2294"/>
      <c r="F3" s="2294"/>
      <c r="H3" s="10"/>
    </row>
    <row r="4" spans="2:8" ht="13.9" customHeight="1" thickBot="1" x14ac:dyDescent="0.3"/>
    <row r="5" spans="2:8" ht="13.9" customHeight="1" thickBot="1" x14ac:dyDescent="0.3">
      <c r="B5" s="13" t="s">
        <v>20</v>
      </c>
      <c r="C5" s="2237" t="s">
        <v>36</v>
      </c>
      <c r="D5" s="2237"/>
      <c r="E5" s="2237"/>
      <c r="F5" s="2237"/>
    </row>
    <row r="6" spans="2:8" ht="13.9" customHeight="1" thickBot="1" x14ac:dyDescent="0.3">
      <c r="B6" s="13" t="s">
        <v>4</v>
      </c>
      <c r="C6" s="2252" t="s">
        <v>36</v>
      </c>
      <c r="D6" s="2253"/>
      <c r="E6" s="2253"/>
      <c r="F6" s="2254"/>
    </row>
    <row r="7" spans="2:8" ht="13.9" customHeight="1" thickBot="1" x14ac:dyDescent="0.3">
      <c r="B7" s="13" t="s">
        <v>35</v>
      </c>
      <c r="C7" s="2238" t="s">
        <v>5</v>
      </c>
      <c r="D7" s="2239"/>
      <c r="E7" s="2239"/>
      <c r="F7" s="2240"/>
    </row>
    <row r="8" spans="2:8" ht="13.9" customHeight="1" thickBot="1" x14ac:dyDescent="0.3">
      <c r="B8" s="11" t="s">
        <v>44</v>
      </c>
      <c r="C8" s="3138" t="s">
        <v>41</v>
      </c>
      <c r="D8" s="3139"/>
      <c r="E8" s="3139"/>
      <c r="F8" s="3140"/>
    </row>
    <row r="9" spans="2:8" ht="13.9" customHeight="1" thickBot="1" x14ac:dyDescent="0.3">
      <c r="B9" s="3147" t="s">
        <v>37</v>
      </c>
      <c r="C9" s="3148"/>
      <c r="D9" s="3148"/>
      <c r="E9" s="3148"/>
      <c r="F9" s="3149"/>
    </row>
    <row r="10" spans="2:8" ht="13.9" customHeight="1" thickBot="1" x14ac:dyDescent="0.3">
      <c r="B10" s="3" t="s">
        <v>38</v>
      </c>
      <c r="C10" s="2" t="s">
        <v>21</v>
      </c>
      <c r="D10" s="2" t="s">
        <v>21</v>
      </c>
      <c r="E10" s="2" t="s">
        <v>21</v>
      </c>
      <c r="F10" s="2" t="s">
        <v>21</v>
      </c>
    </row>
    <row r="11" spans="2:8" ht="13.9" customHeight="1" thickBot="1" x14ac:dyDescent="0.3">
      <c r="B11" s="3" t="s">
        <v>39</v>
      </c>
      <c r="C11" s="2" t="s">
        <v>21</v>
      </c>
      <c r="D11" s="2" t="s">
        <v>21</v>
      </c>
      <c r="E11" s="2" t="s">
        <v>21</v>
      </c>
      <c r="F11" s="2" t="s">
        <v>21</v>
      </c>
    </row>
    <row r="12" spans="2:8" ht="13.9" customHeight="1" thickBot="1" x14ac:dyDescent="0.3">
      <c r="B12" s="3" t="s">
        <v>40</v>
      </c>
      <c r="C12" s="2" t="s">
        <v>21</v>
      </c>
      <c r="D12" s="2" t="s">
        <v>21</v>
      </c>
      <c r="E12" s="2" t="s">
        <v>21</v>
      </c>
      <c r="F12" s="2" t="s">
        <v>21</v>
      </c>
    </row>
    <row r="13" spans="2:8" ht="13.9" customHeight="1" thickBot="1" x14ac:dyDescent="0.3">
      <c r="B13" s="19" t="s">
        <v>131</v>
      </c>
      <c r="C13" s="3144" t="s">
        <v>41</v>
      </c>
      <c r="D13" s="3145"/>
      <c r="E13" s="3145"/>
      <c r="F13" s="3146"/>
    </row>
    <row r="14" spans="2:8" ht="13.9" customHeight="1" thickBot="1" x14ac:dyDescent="0.3">
      <c r="B14" s="3" t="s">
        <v>10</v>
      </c>
      <c r="C14" s="3147" t="s">
        <v>41</v>
      </c>
      <c r="D14" s="3148"/>
      <c r="E14" s="3148"/>
      <c r="F14" s="3149"/>
    </row>
    <row r="15" spans="2:8" ht="13.9" customHeight="1" thickBot="1" x14ac:dyDescent="0.3">
      <c r="B15" s="3" t="s">
        <v>13</v>
      </c>
      <c r="C15" s="2391" t="s">
        <v>41</v>
      </c>
      <c r="D15" s="2392"/>
      <c r="E15" s="2392"/>
      <c r="F15" s="2393"/>
    </row>
    <row r="16" spans="2:8" ht="13.9" customHeight="1" x14ac:dyDescent="0.25">
      <c r="B16" s="15"/>
      <c r="C16" s="17">
        <v>2018</v>
      </c>
      <c r="D16" s="17">
        <v>2019</v>
      </c>
      <c r="E16" s="17">
        <v>2020</v>
      </c>
      <c r="F16" s="17">
        <v>2021</v>
      </c>
    </row>
    <row r="17" spans="2:6" ht="13.9" customHeight="1" thickBot="1" x14ac:dyDescent="0.3">
      <c r="B17" s="16"/>
      <c r="C17" s="18" t="s">
        <v>6</v>
      </c>
      <c r="D17" s="18" t="s">
        <v>7</v>
      </c>
      <c r="E17" s="18" t="s">
        <v>7</v>
      </c>
      <c r="F17" s="18" t="s">
        <v>7</v>
      </c>
    </row>
    <row r="18" spans="2:6" ht="13.9" customHeight="1" thickBot="1" x14ac:dyDescent="0.3">
      <c r="B18" s="3" t="s">
        <v>9</v>
      </c>
      <c r="C18" s="4"/>
      <c r="D18" s="5"/>
      <c r="E18" s="5"/>
      <c r="F18" s="5"/>
    </row>
    <row r="19" spans="2:6" ht="13.9" customHeight="1" thickBot="1" x14ac:dyDescent="0.3">
      <c r="B19" s="3" t="s">
        <v>14</v>
      </c>
      <c r="C19" s="4"/>
      <c r="D19" s="4"/>
      <c r="E19" s="4"/>
      <c r="F19" s="4"/>
    </row>
    <row r="20" spans="2:6" ht="13.9" customHeight="1" thickBot="1" x14ac:dyDescent="0.3">
      <c r="B20" s="3" t="s">
        <v>23</v>
      </c>
      <c r="C20" s="4"/>
      <c r="D20" s="5"/>
      <c r="E20" s="5"/>
      <c r="F20" s="5"/>
    </row>
    <row r="21" spans="2:6" ht="13.9" customHeight="1" thickBot="1" x14ac:dyDescent="0.3">
      <c r="B21" s="3" t="s">
        <v>15</v>
      </c>
      <c r="C21" s="7"/>
      <c r="D21" s="6" t="e">
        <f>D18/C18-1</f>
        <v>#DIV/0!</v>
      </c>
      <c r="E21" s="6" t="e">
        <f t="shared" ref="E21:F23" si="0">E18/D18-1</f>
        <v>#DIV/0!</v>
      </c>
      <c r="F21" s="6" t="e">
        <f t="shared" si="0"/>
        <v>#DIV/0!</v>
      </c>
    </row>
    <row r="22" spans="2:6" ht="13.9" customHeight="1" thickBot="1" x14ac:dyDescent="0.3">
      <c r="B22" s="3" t="s">
        <v>16</v>
      </c>
      <c r="C22" s="7"/>
      <c r="D22" s="6" t="e">
        <f>D19/C19-1</f>
        <v>#DIV/0!</v>
      </c>
      <c r="E22" s="6" t="e">
        <f t="shared" si="0"/>
        <v>#DIV/0!</v>
      </c>
      <c r="F22" s="6" t="e">
        <f t="shared" si="0"/>
        <v>#DIV/0!</v>
      </c>
    </row>
    <row r="23" spans="2:6" ht="13.9" customHeight="1" thickBot="1" x14ac:dyDescent="0.3">
      <c r="B23" s="3" t="s">
        <v>17</v>
      </c>
      <c r="C23" s="7"/>
      <c r="D23" s="6" t="e">
        <f>D20/C20-1</f>
        <v>#DIV/0!</v>
      </c>
      <c r="E23" s="6" t="e">
        <f t="shared" si="0"/>
        <v>#DIV/0!</v>
      </c>
      <c r="F23" s="6" t="e">
        <f t="shared" si="0"/>
        <v>#DIV/0!</v>
      </c>
    </row>
    <row r="24" spans="2:6" ht="13.9" customHeight="1" thickBot="1" x14ac:dyDescent="0.3">
      <c r="B24" s="3135" t="s">
        <v>73</v>
      </c>
      <c r="C24" s="3136"/>
      <c r="D24" s="3136"/>
      <c r="E24" s="3136"/>
      <c r="F24" s="3137"/>
    </row>
    <row r="25" spans="2:6" ht="13.9" customHeight="1" thickBot="1" x14ac:dyDescent="0.3">
      <c r="B25" s="1" t="s">
        <v>0</v>
      </c>
      <c r="C25" s="8"/>
      <c r="D25" s="8"/>
      <c r="E25" s="8"/>
      <c r="F25" s="8"/>
    </row>
    <row r="26" spans="2:6" ht="13.9" customHeight="1" thickBot="1" x14ac:dyDescent="0.3">
      <c r="B26" s="1" t="s">
        <v>65</v>
      </c>
      <c r="C26" s="8"/>
      <c r="D26" s="8"/>
      <c r="E26" s="8"/>
      <c r="F26" s="8"/>
    </row>
    <row r="27" spans="2:6" ht="13.9" customHeight="1" thickBot="1" x14ac:dyDescent="0.3">
      <c r="B27" s="1" t="s">
        <v>1</v>
      </c>
      <c r="C27" s="8"/>
      <c r="D27" s="8"/>
      <c r="E27" s="8"/>
      <c r="F27" s="8"/>
    </row>
    <row r="28" spans="2:6" ht="13.9" customHeight="1" thickBot="1" x14ac:dyDescent="0.3">
      <c r="B28" s="1" t="s">
        <v>2</v>
      </c>
      <c r="C28" s="8"/>
      <c r="D28" s="8"/>
      <c r="E28" s="8"/>
      <c r="F28" s="8"/>
    </row>
    <row r="29" spans="2:6" ht="13.9" customHeight="1" thickBot="1" x14ac:dyDescent="0.3">
      <c r="B29" s="1" t="s">
        <v>28</v>
      </c>
      <c r="C29" s="8"/>
      <c r="D29" s="8"/>
      <c r="E29" s="8"/>
      <c r="F29" s="8"/>
    </row>
    <row r="30" spans="2:6" ht="13.9" customHeight="1" thickBot="1" x14ac:dyDescent="0.3">
      <c r="B30" s="1" t="s">
        <v>30</v>
      </c>
      <c r="C30" s="8"/>
      <c r="D30" s="8"/>
      <c r="E30" s="8"/>
      <c r="F30" s="8"/>
    </row>
    <row r="31" spans="2:6" ht="13.9" customHeight="1" thickBot="1" x14ac:dyDescent="0.3">
      <c r="B31" s="1" t="s">
        <v>3</v>
      </c>
      <c r="C31" s="8"/>
      <c r="D31" s="8"/>
      <c r="E31" s="8"/>
      <c r="F31" s="8"/>
    </row>
    <row r="32" spans="2:6" ht="13.9" customHeight="1" thickBot="1" x14ac:dyDescent="0.3">
      <c r="B32" s="1" t="s">
        <v>18</v>
      </c>
      <c r="C32" s="8"/>
      <c r="D32" s="8"/>
      <c r="E32" s="8"/>
      <c r="F32" s="8"/>
    </row>
    <row r="33" spans="2:6" ht="13.9" customHeight="1" thickBot="1" x14ac:dyDescent="0.3">
      <c r="B33" s="1" t="s">
        <v>19</v>
      </c>
      <c r="C33" s="8"/>
      <c r="D33" s="8"/>
      <c r="E33" s="8"/>
      <c r="F33" s="8"/>
    </row>
    <row r="34" spans="2:6" ht="13.9" customHeight="1" thickBot="1" x14ac:dyDescent="0.3">
      <c r="B34" s="14" t="s">
        <v>78</v>
      </c>
      <c r="C34" s="21">
        <f>SUM(C25:C33)</f>
        <v>0</v>
      </c>
      <c r="D34" s="21">
        <f t="shared" ref="D34:F34" si="1">SUM(D25:D33)</f>
        <v>0</v>
      </c>
      <c r="E34" s="21">
        <f t="shared" si="1"/>
        <v>0</v>
      </c>
      <c r="F34" s="21">
        <f t="shared" si="1"/>
        <v>0</v>
      </c>
    </row>
    <row r="35" spans="2:6" ht="13.9" customHeight="1" thickBot="1" x14ac:dyDescent="0.3">
      <c r="B35" s="24"/>
      <c r="C35" s="25"/>
      <c r="D35" s="25"/>
      <c r="E35" s="25"/>
      <c r="F35" s="26"/>
    </row>
    <row r="36" spans="2:6" ht="13.9" customHeight="1" thickBot="1" x14ac:dyDescent="0.3">
      <c r="B36" s="12" t="s">
        <v>130</v>
      </c>
      <c r="C36" s="3141" t="s">
        <v>46</v>
      </c>
      <c r="D36" s="3142"/>
      <c r="E36" s="3142"/>
      <c r="F36" s="3143"/>
    </row>
    <row r="37" spans="2:6" ht="13.9" customHeight="1" thickBot="1" x14ac:dyDescent="0.3">
      <c r="B37" s="12" t="s">
        <v>74</v>
      </c>
      <c r="C37" s="3144" t="s">
        <v>41</v>
      </c>
      <c r="D37" s="3145"/>
      <c r="E37" s="3145"/>
      <c r="F37" s="3146"/>
    </row>
    <row r="38" spans="2:6" ht="13.9" customHeight="1" thickBot="1" x14ac:dyDescent="0.3">
      <c r="B38" s="3" t="s">
        <v>10</v>
      </c>
      <c r="C38" s="3147" t="s">
        <v>41</v>
      </c>
      <c r="D38" s="3148"/>
      <c r="E38" s="3148"/>
      <c r="F38" s="3149"/>
    </row>
    <row r="39" spans="2:6" ht="13.9" customHeight="1" thickBot="1" x14ac:dyDescent="0.3">
      <c r="B39" s="3" t="s">
        <v>13</v>
      </c>
      <c r="C39" s="2391" t="s">
        <v>41</v>
      </c>
      <c r="D39" s="2392"/>
      <c r="E39" s="2392"/>
      <c r="F39" s="2393"/>
    </row>
    <row r="40" spans="2:6" ht="13.9" customHeight="1" thickBot="1" x14ac:dyDescent="0.3">
      <c r="B40" s="3" t="s">
        <v>9</v>
      </c>
      <c r="C40" s="4"/>
      <c r="D40" s="5"/>
      <c r="E40" s="5"/>
      <c r="F40" s="5"/>
    </row>
    <row r="41" spans="2:6" ht="13.9" customHeight="1" thickBot="1" x14ac:dyDescent="0.3">
      <c r="B41" s="3" t="s">
        <v>14</v>
      </c>
      <c r="C41" s="4"/>
      <c r="D41" s="4"/>
      <c r="E41" s="4"/>
      <c r="F41" s="4"/>
    </row>
    <row r="42" spans="2:6" ht="13.9" customHeight="1" thickBot="1" x14ac:dyDescent="0.3">
      <c r="B42" s="3" t="s">
        <v>23</v>
      </c>
      <c r="C42" s="4"/>
      <c r="D42" s="5"/>
      <c r="E42" s="5"/>
      <c r="F42" s="5"/>
    </row>
    <row r="43" spans="2:6" ht="13.9" customHeight="1" thickBot="1" x14ac:dyDescent="0.3">
      <c r="B43" s="3" t="s">
        <v>15</v>
      </c>
      <c r="C43" s="7"/>
      <c r="D43" s="6" t="e">
        <f>D40/C40-1</f>
        <v>#DIV/0!</v>
      </c>
      <c r="E43" s="6" t="e">
        <f t="shared" ref="E43:E45" si="2">E40/D40-1</f>
        <v>#DIV/0!</v>
      </c>
      <c r="F43" s="6" t="e">
        <f t="shared" ref="F43:F45" si="3">F40/E40-1</f>
        <v>#DIV/0!</v>
      </c>
    </row>
    <row r="44" spans="2:6" ht="13.9" customHeight="1" thickBot="1" x14ac:dyDescent="0.3">
      <c r="B44" s="3" t="s">
        <v>16</v>
      </c>
      <c r="C44" s="7"/>
      <c r="D44" s="6" t="e">
        <f>D41/C41-1</f>
        <v>#DIV/0!</v>
      </c>
      <c r="E44" s="6" t="e">
        <f t="shared" si="2"/>
        <v>#DIV/0!</v>
      </c>
      <c r="F44" s="6" t="e">
        <f t="shared" si="3"/>
        <v>#DIV/0!</v>
      </c>
    </row>
    <row r="45" spans="2:6" ht="13.9" customHeight="1" thickBot="1" x14ac:dyDescent="0.3">
      <c r="B45" s="3" t="s">
        <v>17</v>
      </c>
      <c r="C45" s="7"/>
      <c r="D45" s="6" t="e">
        <f>D42/C42-1</f>
        <v>#DIV/0!</v>
      </c>
      <c r="E45" s="6" t="e">
        <f t="shared" si="2"/>
        <v>#DIV/0!</v>
      </c>
      <c r="F45" s="6" t="e">
        <f t="shared" si="3"/>
        <v>#DIV/0!</v>
      </c>
    </row>
    <row r="46" spans="2:6" ht="13.9" customHeight="1" thickBot="1" x14ac:dyDescent="0.3">
      <c r="B46" s="3135" t="s">
        <v>75</v>
      </c>
      <c r="C46" s="3136"/>
      <c r="D46" s="3136"/>
      <c r="E46" s="3136"/>
      <c r="F46" s="3137"/>
    </row>
    <row r="47" spans="2:6" ht="13.9" customHeight="1" x14ac:dyDescent="0.25">
      <c r="B47" s="15"/>
      <c r="C47" s="17">
        <v>2018</v>
      </c>
      <c r="D47" s="17">
        <v>2019</v>
      </c>
      <c r="E47" s="17">
        <v>2020</v>
      </c>
      <c r="F47" s="17">
        <v>2021</v>
      </c>
    </row>
    <row r="48" spans="2:6" ht="13.9" customHeight="1" thickBot="1" x14ac:dyDescent="0.3">
      <c r="B48" s="16"/>
      <c r="C48" s="18" t="s">
        <v>6</v>
      </c>
      <c r="D48" s="18" t="s">
        <v>7</v>
      </c>
      <c r="E48" s="18" t="s">
        <v>7</v>
      </c>
      <c r="F48" s="18" t="s">
        <v>7</v>
      </c>
    </row>
    <row r="49" spans="2:6" ht="13.9" customHeight="1" thickBot="1" x14ac:dyDescent="0.3">
      <c r="B49" s="1" t="s">
        <v>0</v>
      </c>
      <c r="C49" s="8"/>
      <c r="D49" s="8"/>
      <c r="E49" s="8"/>
      <c r="F49" s="8"/>
    </row>
    <row r="50" spans="2:6" ht="13.9" customHeight="1" thickBot="1" x14ac:dyDescent="0.3">
      <c r="B50" s="1" t="s">
        <v>65</v>
      </c>
      <c r="C50" s="8"/>
      <c r="D50" s="8"/>
      <c r="E50" s="8"/>
      <c r="F50" s="8"/>
    </row>
    <row r="51" spans="2:6" ht="13.9" customHeight="1" thickBot="1" x14ac:dyDescent="0.3">
      <c r="B51" s="1" t="s">
        <v>1</v>
      </c>
      <c r="C51" s="8"/>
      <c r="D51" s="8"/>
      <c r="E51" s="8"/>
      <c r="F51" s="8"/>
    </row>
    <row r="52" spans="2:6" ht="13.9" customHeight="1" thickBot="1" x14ac:dyDescent="0.3">
      <c r="B52" s="1" t="s">
        <v>2</v>
      </c>
      <c r="C52" s="8"/>
      <c r="D52" s="8"/>
      <c r="E52" s="8"/>
      <c r="F52" s="8"/>
    </row>
    <row r="53" spans="2:6" ht="13.9" customHeight="1" thickBot="1" x14ac:dyDescent="0.3">
      <c r="B53" s="1" t="s">
        <v>28</v>
      </c>
      <c r="C53" s="8"/>
      <c r="D53" s="8"/>
      <c r="E53" s="8"/>
      <c r="F53" s="8"/>
    </row>
    <row r="54" spans="2:6" ht="13.9" customHeight="1" thickBot="1" x14ac:dyDescent="0.3">
      <c r="B54" s="1" t="s">
        <v>30</v>
      </c>
      <c r="C54" s="8"/>
      <c r="D54" s="8"/>
      <c r="E54" s="8"/>
      <c r="F54" s="8"/>
    </row>
    <row r="55" spans="2:6" ht="13.9" customHeight="1" thickBot="1" x14ac:dyDescent="0.3">
      <c r="B55" s="1" t="s">
        <v>3</v>
      </c>
      <c r="C55" s="8"/>
      <c r="D55" s="8"/>
      <c r="E55" s="8"/>
      <c r="F55" s="8"/>
    </row>
    <row r="56" spans="2:6" ht="13.9" customHeight="1" thickBot="1" x14ac:dyDescent="0.3">
      <c r="B56" s="1" t="s">
        <v>18</v>
      </c>
      <c r="C56" s="8"/>
      <c r="D56" s="8"/>
      <c r="E56" s="8"/>
      <c r="F56" s="8"/>
    </row>
    <row r="57" spans="2:6" ht="13.9" customHeight="1" thickBot="1" x14ac:dyDescent="0.3">
      <c r="B57" s="1" t="s">
        <v>19</v>
      </c>
      <c r="C57" s="8"/>
      <c r="D57" s="8"/>
      <c r="E57" s="8"/>
      <c r="F57" s="8"/>
    </row>
    <row r="58" spans="2:6" ht="13.9" customHeight="1" thickBot="1" x14ac:dyDescent="0.3">
      <c r="B58" s="14" t="s">
        <v>78</v>
      </c>
      <c r="C58" s="8">
        <f>SUM(C49:C57)</f>
        <v>0</v>
      </c>
      <c r="D58" s="8">
        <f t="shared" ref="D58:F58" si="4">SUM(D49:D57)</f>
        <v>0</v>
      </c>
      <c r="E58" s="8">
        <f t="shared" si="4"/>
        <v>0</v>
      </c>
      <c r="F58" s="8">
        <f t="shared" si="4"/>
        <v>0</v>
      </c>
    </row>
    <row r="59" spans="2:6" ht="13.9" customHeight="1" thickBot="1" x14ac:dyDescent="0.3">
      <c r="B59" s="28" t="s">
        <v>70</v>
      </c>
      <c r="C59" s="22">
        <f>IF(C60-C61=0,0,"Error")</f>
        <v>0</v>
      </c>
      <c r="D59" s="22">
        <f t="shared" ref="D59:F59" si="5">IF(D60-D61=0,0,"Error")</f>
        <v>0</v>
      </c>
      <c r="E59" s="22">
        <f t="shared" si="5"/>
        <v>0</v>
      </c>
      <c r="F59" s="22">
        <f t="shared" si="5"/>
        <v>0</v>
      </c>
    </row>
    <row r="60" spans="2:6" ht="13.9" customHeight="1" thickBot="1" x14ac:dyDescent="0.3">
      <c r="B60" s="27" t="s">
        <v>76</v>
      </c>
      <c r="C60" s="23">
        <f>C19+C41</f>
        <v>0</v>
      </c>
      <c r="D60" s="23">
        <f>D19+D41</f>
        <v>0</v>
      </c>
      <c r="E60" s="23">
        <f>E19+E41</f>
        <v>0</v>
      </c>
      <c r="F60" s="23">
        <f>F19+F41</f>
        <v>0</v>
      </c>
    </row>
    <row r="61" spans="2:6" ht="13.9" customHeight="1" thickBot="1" x14ac:dyDescent="0.3">
      <c r="B61" s="27" t="s">
        <v>77</v>
      </c>
      <c r="C61" s="23">
        <f>SUM(C62:C70)</f>
        <v>0</v>
      </c>
      <c r="D61" s="23">
        <f t="shared" ref="D61:F61" si="6">SUM(D62:D70)</f>
        <v>0</v>
      </c>
      <c r="E61" s="23">
        <f t="shared" si="6"/>
        <v>0</v>
      </c>
      <c r="F61" s="23">
        <f t="shared" si="6"/>
        <v>0</v>
      </c>
    </row>
    <row r="62" spans="2:6" ht="13.9" customHeight="1" thickBot="1" x14ac:dyDescent="0.3">
      <c r="B62" s="1" t="s">
        <v>0</v>
      </c>
      <c r="C62" s="8"/>
      <c r="D62" s="8"/>
      <c r="E62" s="8"/>
      <c r="F62" s="8"/>
    </row>
    <row r="63" spans="2:6" ht="13.9" customHeight="1" thickBot="1" x14ac:dyDescent="0.3">
      <c r="B63" s="1" t="s">
        <v>65</v>
      </c>
      <c r="C63" s="8"/>
      <c r="D63" s="8"/>
      <c r="E63" s="8"/>
      <c r="F63" s="8"/>
    </row>
    <row r="64" spans="2:6" ht="13.9" customHeight="1" thickBot="1" x14ac:dyDescent="0.3">
      <c r="B64" s="1" t="s">
        <v>1</v>
      </c>
      <c r="C64" s="8"/>
      <c r="D64" s="8"/>
      <c r="E64" s="8"/>
      <c r="F64" s="8"/>
    </row>
    <row r="65" spans="1:9" ht="13.9" customHeight="1" thickBot="1" x14ac:dyDescent="0.3">
      <c r="B65" s="1" t="s">
        <v>2</v>
      </c>
      <c r="C65" s="8"/>
      <c r="D65" s="8"/>
      <c r="E65" s="8"/>
      <c r="F65" s="8"/>
    </row>
    <row r="66" spans="1:9" ht="13.9" customHeight="1" thickBot="1" x14ac:dyDescent="0.3">
      <c r="B66" s="1" t="s">
        <v>28</v>
      </c>
      <c r="C66" s="8"/>
      <c r="D66" s="8"/>
      <c r="E66" s="8"/>
      <c r="F66" s="8"/>
    </row>
    <row r="67" spans="1:9" ht="13.9" customHeight="1" thickBot="1" x14ac:dyDescent="0.3">
      <c r="B67" s="1" t="s">
        <v>30</v>
      </c>
      <c r="C67" s="8"/>
      <c r="D67" s="8"/>
      <c r="E67" s="8"/>
      <c r="F67" s="8"/>
    </row>
    <row r="68" spans="1:9" ht="13.9" customHeight="1" thickBot="1" x14ac:dyDescent="0.3">
      <c r="B68" s="1" t="s">
        <v>3</v>
      </c>
      <c r="C68" s="8"/>
      <c r="D68" s="8"/>
      <c r="E68" s="8"/>
      <c r="F68" s="8"/>
    </row>
    <row r="69" spans="1:9" ht="13.9" customHeight="1" thickBot="1" x14ac:dyDescent="0.3">
      <c r="B69" s="1" t="s">
        <v>18</v>
      </c>
      <c r="C69" s="8"/>
      <c r="D69" s="8"/>
      <c r="E69" s="8"/>
      <c r="F69" s="8"/>
    </row>
    <row r="70" spans="1:9" ht="13.9" customHeight="1" thickBot="1" x14ac:dyDescent="0.3">
      <c r="B70" s="1" t="s">
        <v>19</v>
      </c>
      <c r="C70" s="8"/>
      <c r="D70" s="8"/>
      <c r="E70" s="8"/>
      <c r="F70" s="8"/>
    </row>
    <row r="71" spans="1:9" ht="13.9" customHeight="1" thickBot="1" x14ac:dyDescent="0.3"/>
    <row r="72" spans="1:9" ht="13.9" customHeight="1" x14ac:dyDescent="0.25">
      <c r="A72" s="3132" t="s">
        <v>122</v>
      </c>
      <c r="B72" s="33" t="s">
        <v>80</v>
      </c>
      <c r="C72" s="34"/>
      <c r="D72" s="3132" t="s">
        <v>83</v>
      </c>
      <c r="E72" s="33" t="s">
        <v>80</v>
      </c>
      <c r="F72" s="34"/>
      <c r="G72" s="3132" t="s">
        <v>118</v>
      </c>
      <c r="H72" s="33" t="s">
        <v>80</v>
      </c>
      <c r="I72" s="34"/>
    </row>
    <row r="73" spans="1:9" ht="13.9" customHeight="1" x14ac:dyDescent="0.25">
      <c r="A73" s="3133"/>
      <c r="B73" s="29" t="s">
        <v>81</v>
      </c>
      <c r="C73" s="35"/>
      <c r="D73" s="3133"/>
      <c r="E73" s="29" t="s">
        <v>81</v>
      </c>
      <c r="F73" s="35"/>
      <c r="G73" s="3133"/>
      <c r="H73" s="29" t="s">
        <v>81</v>
      </c>
      <c r="I73" s="35"/>
    </row>
    <row r="74" spans="1:9" ht="13.9" customHeight="1" thickBot="1" x14ac:dyDescent="0.3">
      <c r="A74" s="3134"/>
      <c r="B74" s="36" t="s">
        <v>82</v>
      </c>
      <c r="C74" s="37"/>
      <c r="D74" s="3134"/>
      <c r="E74" s="36" t="s">
        <v>82</v>
      </c>
      <c r="F74" s="37"/>
      <c r="G74" s="3134"/>
      <c r="H74" s="36" t="s">
        <v>82</v>
      </c>
      <c r="I74" s="37"/>
    </row>
    <row r="75" spans="1:9" ht="13.9" customHeight="1" thickBot="1" x14ac:dyDescent="0.3">
      <c r="A75" s="30"/>
      <c r="B75" s="31"/>
      <c r="C75" s="31"/>
      <c r="E75" s="30"/>
      <c r="F75" s="31"/>
      <c r="G75" s="31"/>
    </row>
    <row r="76" spans="1:9" ht="13.9" customHeight="1" thickBot="1" x14ac:dyDescent="0.3">
      <c r="A76" s="30"/>
      <c r="B76" s="32" t="s">
        <v>86</v>
      </c>
      <c r="C76" s="31"/>
      <c r="E76" s="30"/>
      <c r="F76" s="31"/>
      <c r="G76" s="31"/>
    </row>
    <row r="77" spans="1:9" ht="13.9" customHeight="1" x14ac:dyDescent="0.25">
      <c r="B77" s="2281" t="s">
        <v>129</v>
      </c>
      <c r="C77" s="2282"/>
      <c r="D77" s="2282"/>
      <c r="E77" s="2282"/>
      <c r="F77" s="2283"/>
    </row>
    <row r="78" spans="1:9" ht="13.9" customHeight="1" x14ac:dyDescent="0.25">
      <c r="B78" s="2284" t="s">
        <v>133</v>
      </c>
      <c r="C78" s="2285"/>
      <c r="D78" s="2285"/>
      <c r="E78" s="2285"/>
      <c r="F78" s="2286"/>
    </row>
    <row r="79" spans="1:9" ht="13.9" customHeight="1" x14ac:dyDescent="0.25">
      <c r="B79" s="2287" t="s">
        <v>132</v>
      </c>
      <c r="C79" s="2288"/>
      <c r="D79" s="2288"/>
      <c r="E79" s="2288"/>
      <c r="F79" s="2289"/>
    </row>
    <row r="80" spans="1:9" ht="13.9" customHeight="1" thickBot="1" x14ac:dyDescent="0.3">
      <c r="B80" s="2290" t="s">
        <v>134</v>
      </c>
      <c r="C80" s="2291"/>
      <c r="D80" s="2291"/>
      <c r="E80" s="2291"/>
      <c r="F80" s="2292"/>
    </row>
  </sheetData>
  <mergeCells count="23">
    <mergeCell ref="C6:F6"/>
    <mergeCell ref="A72:A74"/>
    <mergeCell ref="G72:G74"/>
    <mergeCell ref="B80:F80"/>
    <mergeCell ref="B2:F2"/>
    <mergeCell ref="B3:F3"/>
    <mergeCell ref="C36:F36"/>
    <mergeCell ref="B77:F77"/>
    <mergeCell ref="C37:F37"/>
    <mergeCell ref="C38:F38"/>
    <mergeCell ref="C39:F39"/>
    <mergeCell ref="B9:F9"/>
    <mergeCell ref="C13:F13"/>
    <mergeCell ref="C14:F14"/>
    <mergeCell ref="C15:F15"/>
    <mergeCell ref="C5:F5"/>
    <mergeCell ref="D72:D74"/>
    <mergeCell ref="B79:F79"/>
    <mergeCell ref="B46:F46"/>
    <mergeCell ref="C7:F7"/>
    <mergeCell ref="C8:F8"/>
    <mergeCell ref="B24:F24"/>
    <mergeCell ref="B78:F78"/>
  </mergeCells>
  <printOptions horizontalCentered="1" verticalCentered="1"/>
  <pageMargins left="0.7" right="0.7" top="0.75" bottom="0.75" header="0.3" footer="0.3"/>
  <pageSetup scale="70" orientation="portrait" r:id="rId1"/>
  <rowBreaks count="1" manualBreakCount="1">
    <brk id="4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61"/>
  <sheetViews>
    <sheetView topLeftCell="A62" zoomScaleNormal="100" workbookViewId="0">
      <selection activeCell="F82" sqref="F82"/>
    </sheetView>
  </sheetViews>
  <sheetFormatPr defaultColWidth="11.140625" defaultRowHeight="11.25" x14ac:dyDescent="0.25"/>
  <cols>
    <col min="1" max="1" width="8.85546875" style="227" customWidth="1"/>
    <col min="2" max="2" width="4.7109375" style="227" customWidth="1"/>
    <col min="3" max="3" width="21.28515625" style="227" customWidth="1"/>
    <col min="4" max="4" width="15.140625" style="227" customWidth="1"/>
    <col min="5" max="5" width="11" style="227" customWidth="1"/>
    <col min="6" max="6" width="14.28515625" style="227" customWidth="1"/>
    <col min="7" max="7" width="14.140625" style="227" customWidth="1"/>
    <col min="8" max="8" width="11.140625" style="227" customWidth="1"/>
    <col min="9" max="9" width="16" style="227" customWidth="1"/>
    <col min="10" max="256" width="11.140625" style="227"/>
    <col min="257" max="257" width="8.85546875" style="227" customWidth="1"/>
    <col min="258" max="258" width="4.7109375" style="227" customWidth="1"/>
    <col min="259" max="259" width="21.28515625" style="227" customWidth="1"/>
    <col min="260" max="260" width="15.140625" style="227" customWidth="1"/>
    <col min="261" max="261" width="11" style="227" customWidth="1"/>
    <col min="262" max="262" width="14.28515625" style="227" customWidth="1"/>
    <col min="263" max="263" width="14.140625" style="227" customWidth="1"/>
    <col min="264" max="264" width="11.140625" style="227" customWidth="1"/>
    <col min="265" max="265" width="16" style="227" customWidth="1"/>
    <col min="266" max="512" width="11.140625" style="227"/>
    <col min="513" max="513" width="8.85546875" style="227" customWidth="1"/>
    <col min="514" max="514" width="4.7109375" style="227" customWidth="1"/>
    <col min="515" max="515" width="21.28515625" style="227" customWidth="1"/>
    <col min="516" max="516" width="15.140625" style="227" customWidth="1"/>
    <col min="517" max="517" width="11" style="227" customWidth="1"/>
    <col min="518" max="518" width="14.28515625" style="227" customWidth="1"/>
    <col min="519" max="519" width="14.140625" style="227" customWidth="1"/>
    <col min="520" max="520" width="11.140625" style="227" customWidth="1"/>
    <col min="521" max="521" width="16" style="227" customWidth="1"/>
    <col min="522" max="768" width="11.140625" style="227"/>
    <col min="769" max="769" width="8.85546875" style="227" customWidth="1"/>
    <col min="770" max="770" width="4.7109375" style="227" customWidth="1"/>
    <col min="771" max="771" width="21.28515625" style="227" customWidth="1"/>
    <col min="772" max="772" width="15.140625" style="227" customWidth="1"/>
    <col min="773" max="773" width="11" style="227" customWidth="1"/>
    <col min="774" max="774" width="14.28515625" style="227" customWidth="1"/>
    <col min="775" max="775" width="14.140625" style="227" customWidth="1"/>
    <col min="776" max="776" width="11.140625" style="227" customWidth="1"/>
    <col min="777" max="777" width="16" style="227" customWidth="1"/>
    <col min="778" max="1024" width="11.140625" style="227"/>
    <col min="1025" max="1025" width="8.85546875" style="227" customWidth="1"/>
    <col min="1026" max="1026" width="4.7109375" style="227" customWidth="1"/>
    <col min="1027" max="1027" width="21.28515625" style="227" customWidth="1"/>
    <col min="1028" max="1028" width="15.140625" style="227" customWidth="1"/>
    <col min="1029" max="1029" width="11" style="227" customWidth="1"/>
    <col min="1030" max="1030" width="14.28515625" style="227" customWidth="1"/>
    <col min="1031" max="1031" width="14.140625" style="227" customWidth="1"/>
    <col min="1032" max="1032" width="11.140625" style="227" customWidth="1"/>
    <col min="1033" max="1033" width="16" style="227" customWidth="1"/>
    <col min="1034" max="1280" width="11.140625" style="227"/>
    <col min="1281" max="1281" width="8.85546875" style="227" customWidth="1"/>
    <col min="1282" max="1282" width="4.7109375" style="227" customWidth="1"/>
    <col min="1283" max="1283" width="21.28515625" style="227" customWidth="1"/>
    <col min="1284" max="1284" width="15.140625" style="227" customWidth="1"/>
    <col min="1285" max="1285" width="11" style="227" customWidth="1"/>
    <col min="1286" max="1286" width="14.28515625" style="227" customWidth="1"/>
    <col min="1287" max="1287" width="14.140625" style="227" customWidth="1"/>
    <col min="1288" max="1288" width="11.140625" style="227" customWidth="1"/>
    <col min="1289" max="1289" width="16" style="227" customWidth="1"/>
    <col min="1290" max="1536" width="11.140625" style="227"/>
    <col min="1537" max="1537" width="8.85546875" style="227" customWidth="1"/>
    <col min="1538" max="1538" width="4.7109375" style="227" customWidth="1"/>
    <col min="1539" max="1539" width="21.28515625" style="227" customWidth="1"/>
    <col min="1540" max="1540" width="15.140625" style="227" customWidth="1"/>
    <col min="1541" max="1541" width="11" style="227" customWidth="1"/>
    <col min="1542" max="1542" width="14.28515625" style="227" customWidth="1"/>
    <col min="1543" max="1543" width="14.140625" style="227" customWidth="1"/>
    <col min="1544" max="1544" width="11.140625" style="227" customWidth="1"/>
    <col min="1545" max="1545" width="16" style="227" customWidth="1"/>
    <col min="1546" max="1792" width="11.140625" style="227"/>
    <col min="1793" max="1793" width="8.85546875" style="227" customWidth="1"/>
    <col min="1794" max="1794" width="4.7109375" style="227" customWidth="1"/>
    <col min="1795" max="1795" width="21.28515625" style="227" customWidth="1"/>
    <col min="1796" max="1796" width="15.140625" style="227" customWidth="1"/>
    <col min="1797" max="1797" width="11" style="227" customWidth="1"/>
    <col min="1798" max="1798" width="14.28515625" style="227" customWidth="1"/>
    <col min="1799" max="1799" width="14.140625" style="227" customWidth="1"/>
    <col min="1800" max="1800" width="11.140625" style="227" customWidth="1"/>
    <col min="1801" max="1801" width="16" style="227" customWidth="1"/>
    <col min="1802" max="2048" width="11.140625" style="227"/>
    <col min="2049" max="2049" width="8.85546875" style="227" customWidth="1"/>
    <col min="2050" max="2050" width="4.7109375" style="227" customWidth="1"/>
    <col min="2051" max="2051" width="21.28515625" style="227" customWidth="1"/>
    <col min="2052" max="2052" width="15.140625" style="227" customWidth="1"/>
    <col min="2053" max="2053" width="11" style="227" customWidth="1"/>
    <col min="2054" max="2054" width="14.28515625" style="227" customWidth="1"/>
    <col min="2055" max="2055" width="14.140625" style="227" customWidth="1"/>
    <col min="2056" max="2056" width="11.140625" style="227" customWidth="1"/>
    <col min="2057" max="2057" width="16" style="227" customWidth="1"/>
    <col min="2058" max="2304" width="11.140625" style="227"/>
    <col min="2305" max="2305" width="8.85546875" style="227" customWidth="1"/>
    <col min="2306" max="2306" width="4.7109375" style="227" customWidth="1"/>
    <col min="2307" max="2307" width="21.28515625" style="227" customWidth="1"/>
    <col min="2308" max="2308" width="15.140625" style="227" customWidth="1"/>
    <col min="2309" max="2309" width="11" style="227" customWidth="1"/>
    <col min="2310" max="2310" width="14.28515625" style="227" customWidth="1"/>
    <col min="2311" max="2311" width="14.140625" style="227" customWidth="1"/>
    <col min="2312" max="2312" width="11.140625" style="227" customWidth="1"/>
    <col min="2313" max="2313" width="16" style="227" customWidth="1"/>
    <col min="2314" max="2560" width="11.140625" style="227"/>
    <col min="2561" max="2561" width="8.85546875" style="227" customWidth="1"/>
    <col min="2562" max="2562" width="4.7109375" style="227" customWidth="1"/>
    <col min="2563" max="2563" width="21.28515625" style="227" customWidth="1"/>
    <col min="2564" max="2564" width="15.140625" style="227" customWidth="1"/>
    <col min="2565" max="2565" width="11" style="227" customWidth="1"/>
    <col min="2566" max="2566" width="14.28515625" style="227" customWidth="1"/>
    <col min="2567" max="2567" width="14.140625" style="227" customWidth="1"/>
    <col min="2568" max="2568" width="11.140625" style="227" customWidth="1"/>
    <col min="2569" max="2569" width="16" style="227" customWidth="1"/>
    <col min="2570" max="2816" width="11.140625" style="227"/>
    <col min="2817" max="2817" width="8.85546875" style="227" customWidth="1"/>
    <col min="2818" max="2818" width="4.7109375" style="227" customWidth="1"/>
    <col min="2819" max="2819" width="21.28515625" style="227" customWidth="1"/>
    <col min="2820" max="2820" width="15.140625" style="227" customWidth="1"/>
    <col min="2821" max="2821" width="11" style="227" customWidth="1"/>
    <col min="2822" max="2822" width="14.28515625" style="227" customWidth="1"/>
    <col min="2823" max="2823" width="14.140625" style="227" customWidth="1"/>
    <col min="2824" max="2824" width="11.140625" style="227" customWidth="1"/>
    <col min="2825" max="2825" width="16" style="227" customWidth="1"/>
    <col min="2826" max="3072" width="11.140625" style="227"/>
    <col min="3073" max="3073" width="8.85546875" style="227" customWidth="1"/>
    <col min="3074" max="3074" width="4.7109375" style="227" customWidth="1"/>
    <col min="3075" max="3075" width="21.28515625" style="227" customWidth="1"/>
    <col min="3076" max="3076" width="15.140625" style="227" customWidth="1"/>
    <col min="3077" max="3077" width="11" style="227" customWidth="1"/>
    <col min="3078" max="3078" width="14.28515625" style="227" customWidth="1"/>
    <col min="3079" max="3079" width="14.140625" style="227" customWidth="1"/>
    <col min="3080" max="3080" width="11.140625" style="227" customWidth="1"/>
    <col min="3081" max="3081" width="16" style="227" customWidth="1"/>
    <col min="3082" max="3328" width="11.140625" style="227"/>
    <col min="3329" max="3329" width="8.85546875" style="227" customWidth="1"/>
    <col min="3330" max="3330" width="4.7109375" style="227" customWidth="1"/>
    <col min="3331" max="3331" width="21.28515625" style="227" customWidth="1"/>
    <col min="3332" max="3332" width="15.140625" style="227" customWidth="1"/>
    <col min="3333" max="3333" width="11" style="227" customWidth="1"/>
    <col min="3334" max="3334" width="14.28515625" style="227" customWidth="1"/>
    <col min="3335" max="3335" width="14.140625" style="227" customWidth="1"/>
    <col min="3336" max="3336" width="11.140625" style="227" customWidth="1"/>
    <col min="3337" max="3337" width="16" style="227" customWidth="1"/>
    <col min="3338" max="3584" width="11.140625" style="227"/>
    <col min="3585" max="3585" width="8.85546875" style="227" customWidth="1"/>
    <col min="3586" max="3586" width="4.7109375" style="227" customWidth="1"/>
    <col min="3587" max="3587" width="21.28515625" style="227" customWidth="1"/>
    <col min="3588" max="3588" width="15.140625" style="227" customWidth="1"/>
    <col min="3589" max="3589" width="11" style="227" customWidth="1"/>
    <col min="3590" max="3590" width="14.28515625" style="227" customWidth="1"/>
    <col min="3591" max="3591" width="14.140625" style="227" customWidth="1"/>
    <col min="3592" max="3592" width="11.140625" style="227" customWidth="1"/>
    <col min="3593" max="3593" width="16" style="227" customWidth="1"/>
    <col min="3594" max="3840" width="11.140625" style="227"/>
    <col min="3841" max="3841" width="8.85546875" style="227" customWidth="1"/>
    <col min="3842" max="3842" width="4.7109375" style="227" customWidth="1"/>
    <col min="3843" max="3843" width="21.28515625" style="227" customWidth="1"/>
    <col min="3844" max="3844" width="15.140625" style="227" customWidth="1"/>
    <col min="3845" max="3845" width="11" style="227" customWidth="1"/>
    <col min="3846" max="3846" width="14.28515625" style="227" customWidth="1"/>
    <col min="3847" max="3847" width="14.140625" style="227" customWidth="1"/>
    <col min="3848" max="3848" width="11.140625" style="227" customWidth="1"/>
    <col min="3849" max="3849" width="16" style="227" customWidth="1"/>
    <col min="3850" max="4096" width="11.140625" style="227"/>
    <col min="4097" max="4097" width="8.85546875" style="227" customWidth="1"/>
    <col min="4098" max="4098" width="4.7109375" style="227" customWidth="1"/>
    <col min="4099" max="4099" width="21.28515625" style="227" customWidth="1"/>
    <col min="4100" max="4100" width="15.140625" style="227" customWidth="1"/>
    <col min="4101" max="4101" width="11" style="227" customWidth="1"/>
    <col min="4102" max="4102" width="14.28515625" style="227" customWidth="1"/>
    <col min="4103" max="4103" width="14.140625" style="227" customWidth="1"/>
    <col min="4104" max="4104" width="11.140625" style="227" customWidth="1"/>
    <col min="4105" max="4105" width="16" style="227" customWidth="1"/>
    <col min="4106" max="4352" width="11.140625" style="227"/>
    <col min="4353" max="4353" width="8.85546875" style="227" customWidth="1"/>
    <col min="4354" max="4354" width="4.7109375" style="227" customWidth="1"/>
    <col min="4355" max="4355" width="21.28515625" style="227" customWidth="1"/>
    <col min="4356" max="4356" width="15.140625" style="227" customWidth="1"/>
    <col min="4357" max="4357" width="11" style="227" customWidth="1"/>
    <col min="4358" max="4358" width="14.28515625" style="227" customWidth="1"/>
    <col min="4359" max="4359" width="14.140625" style="227" customWidth="1"/>
    <col min="4360" max="4360" width="11.140625" style="227" customWidth="1"/>
    <col min="4361" max="4361" width="16" style="227" customWidth="1"/>
    <col min="4362" max="4608" width="11.140625" style="227"/>
    <col min="4609" max="4609" width="8.85546875" style="227" customWidth="1"/>
    <col min="4610" max="4610" width="4.7109375" style="227" customWidth="1"/>
    <col min="4611" max="4611" width="21.28515625" style="227" customWidth="1"/>
    <col min="4612" max="4612" width="15.140625" style="227" customWidth="1"/>
    <col min="4613" max="4613" width="11" style="227" customWidth="1"/>
    <col min="4614" max="4614" width="14.28515625" style="227" customWidth="1"/>
    <col min="4615" max="4615" width="14.140625" style="227" customWidth="1"/>
    <col min="4616" max="4616" width="11.140625" style="227" customWidth="1"/>
    <col min="4617" max="4617" width="16" style="227" customWidth="1"/>
    <col min="4618" max="4864" width="11.140625" style="227"/>
    <col min="4865" max="4865" width="8.85546875" style="227" customWidth="1"/>
    <col min="4866" max="4866" width="4.7109375" style="227" customWidth="1"/>
    <col min="4867" max="4867" width="21.28515625" style="227" customWidth="1"/>
    <col min="4868" max="4868" width="15.140625" style="227" customWidth="1"/>
    <col min="4869" max="4869" width="11" style="227" customWidth="1"/>
    <col min="4870" max="4870" width="14.28515625" style="227" customWidth="1"/>
    <col min="4871" max="4871" width="14.140625" style="227" customWidth="1"/>
    <col min="4872" max="4872" width="11.140625" style="227" customWidth="1"/>
    <col min="4873" max="4873" width="16" style="227" customWidth="1"/>
    <col min="4874" max="5120" width="11.140625" style="227"/>
    <col min="5121" max="5121" width="8.85546875" style="227" customWidth="1"/>
    <col min="5122" max="5122" width="4.7109375" style="227" customWidth="1"/>
    <col min="5123" max="5123" width="21.28515625" style="227" customWidth="1"/>
    <col min="5124" max="5124" width="15.140625" style="227" customWidth="1"/>
    <col min="5125" max="5125" width="11" style="227" customWidth="1"/>
    <col min="5126" max="5126" width="14.28515625" style="227" customWidth="1"/>
    <col min="5127" max="5127" width="14.140625" style="227" customWidth="1"/>
    <col min="5128" max="5128" width="11.140625" style="227" customWidth="1"/>
    <col min="5129" max="5129" width="16" style="227" customWidth="1"/>
    <col min="5130" max="5376" width="11.140625" style="227"/>
    <col min="5377" max="5377" width="8.85546875" style="227" customWidth="1"/>
    <col min="5378" max="5378" width="4.7109375" style="227" customWidth="1"/>
    <col min="5379" max="5379" width="21.28515625" style="227" customWidth="1"/>
    <col min="5380" max="5380" width="15.140625" style="227" customWidth="1"/>
    <col min="5381" max="5381" width="11" style="227" customWidth="1"/>
    <col min="5382" max="5382" width="14.28515625" style="227" customWidth="1"/>
    <col min="5383" max="5383" width="14.140625" style="227" customWidth="1"/>
    <col min="5384" max="5384" width="11.140625" style="227" customWidth="1"/>
    <col min="5385" max="5385" width="16" style="227" customWidth="1"/>
    <col min="5386" max="5632" width="11.140625" style="227"/>
    <col min="5633" max="5633" width="8.85546875" style="227" customWidth="1"/>
    <col min="5634" max="5634" width="4.7109375" style="227" customWidth="1"/>
    <col min="5635" max="5635" width="21.28515625" style="227" customWidth="1"/>
    <col min="5636" max="5636" width="15.140625" style="227" customWidth="1"/>
    <col min="5637" max="5637" width="11" style="227" customWidth="1"/>
    <col min="5638" max="5638" width="14.28515625" style="227" customWidth="1"/>
    <col min="5639" max="5639" width="14.140625" style="227" customWidth="1"/>
    <col min="5640" max="5640" width="11.140625" style="227" customWidth="1"/>
    <col min="5641" max="5641" width="16" style="227" customWidth="1"/>
    <col min="5642" max="5888" width="11.140625" style="227"/>
    <col min="5889" max="5889" width="8.85546875" style="227" customWidth="1"/>
    <col min="5890" max="5890" width="4.7109375" style="227" customWidth="1"/>
    <col min="5891" max="5891" width="21.28515625" style="227" customWidth="1"/>
    <col min="5892" max="5892" width="15.140625" style="227" customWidth="1"/>
    <col min="5893" max="5893" width="11" style="227" customWidth="1"/>
    <col min="5894" max="5894" width="14.28515625" style="227" customWidth="1"/>
    <col min="5895" max="5895" width="14.140625" style="227" customWidth="1"/>
    <col min="5896" max="5896" width="11.140625" style="227" customWidth="1"/>
    <col min="5897" max="5897" width="16" style="227" customWidth="1"/>
    <col min="5898" max="6144" width="11.140625" style="227"/>
    <col min="6145" max="6145" width="8.85546875" style="227" customWidth="1"/>
    <col min="6146" max="6146" width="4.7109375" style="227" customWidth="1"/>
    <col min="6147" max="6147" width="21.28515625" style="227" customWidth="1"/>
    <col min="6148" max="6148" width="15.140625" style="227" customWidth="1"/>
    <col min="6149" max="6149" width="11" style="227" customWidth="1"/>
    <col min="6150" max="6150" width="14.28515625" style="227" customWidth="1"/>
    <col min="6151" max="6151" width="14.140625" style="227" customWidth="1"/>
    <col min="6152" max="6152" width="11.140625" style="227" customWidth="1"/>
    <col min="6153" max="6153" width="16" style="227" customWidth="1"/>
    <col min="6154" max="6400" width="11.140625" style="227"/>
    <col min="6401" max="6401" width="8.85546875" style="227" customWidth="1"/>
    <col min="6402" max="6402" width="4.7109375" style="227" customWidth="1"/>
    <col min="6403" max="6403" width="21.28515625" style="227" customWidth="1"/>
    <col min="6404" max="6404" width="15.140625" style="227" customWidth="1"/>
    <col min="6405" max="6405" width="11" style="227" customWidth="1"/>
    <col min="6406" max="6406" width="14.28515625" style="227" customWidth="1"/>
    <col min="6407" max="6407" width="14.140625" style="227" customWidth="1"/>
    <col min="6408" max="6408" width="11.140625" style="227" customWidth="1"/>
    <col min="6409" max="6409" width="16" style="227" customWidth="1"/>
    <col min="6410" max="6656" width="11.140625" style="227"/>
    <col min="6657" max="6657" width="8.85546875" style="227" customWidth="1"/>
    <col min="6658" max="6658" width="4.7109375" style="227" customWidth="1"/>
    <col min="6659" max="6659" width="21.28515625" style="227" customWidth="1"/>
    <col min="6660" max="6660" width="15.140625" style="227" customWidth="1"/>
    <col min="6661" max="6661" width="11" style="227" customWidth="1"/>
    <col min="6662" max="6662" width="14.28515625" style="227" customWidth="1"/>
    <col min="6663" max="6663" width="14.140625" style="227" customWidth="1"/>
    <col min="6664" max="6664" width="11.140625" style="227" customWidth="1"/>
    <col min="6665" max="6665" width="16" style="227" customWidth="1"/>
    <col min="6666" max="6912" width="11.140625" style="227"/>
    <col min="6913" max="6913" width="8.85546875" style="227" customWidth="1"/>
    <col min="6914" max="6914" width="4.7109375" style="227" customWidth="1"/>
    <col min="6915" max="6915" width="21.28515625" style="227" customWidth="1"/>
    <col min="6916" max="6916" width="15.140625" style="227" customWidth="1"/>
    <col min="6917" max="6917" width="11" style="227" customWidth="1"/>
    <col min="6918" max="6918" width="14.28515625" style="227" customWidth="1"/>
    <col min="6919" max="6919" width="14.140625" style="227" customWidth="1"/>
    <col min="6920" max="6920" width="11.140625" style="227" customWidth="1"/>
    <col min="6921" max="6921" width="16" style="227" customWidth="1"/>
    <col min="6922" max="7168" width="11.140625" style="227"/>
    <col min="7169" max="7169" width="8.85546875" style="227" customWidth="1"/>
    <col min="7170" max="7170" width="4.7109375" style="227" customWidth="1"/>
    <col min="7171" max="7171" width="21.28515625" style="227" customWidth="1"/>
    <col min="7172" max="7172" width="15.140625" style="227" customWidth="1"/>
    <col min="7173" max="7173" width="11" style="227" customWidth="1"/>
    <col min="7174" max="7174" width="14.28515625" style="227" customWidth="1"/>
    <col min="7175" max="7175" width="14.140625" style="227" customWidth="1"/>
    <col min="7176" max="7176" width="11.140625" style="227" customWidth="1"/>
    <col min="7177" max="7177" width="16" style="227" customWidth="1"/>
    <col min="7178" max="7424" width="11.140625" style="227"/>
    <col min="7425" max="7425" width="8.85546875" style="227" customWidth="1"/>
    <col min="7426" max="7426" width="4.7109375" style="227" customWidth="1"/>
    <col min="7427" max="7427" width="21.28515625" style="227" customWidth="1"/>
    <col min="7428" max="7428" width="15.140625" style="227" customWidth="1"/>
    <col min="7429" max="7429" width="11" style="227" customWidth="1"/>
    <col min="7430" max="7430" width="14.28515625" style="227" customWidth="1"/>
    <col min="7431" max="7431" width="14.140625" style="227" customWidth="1"/>
    <col min="7432" max="7432" width="11.140625" style="227" customWidth="1"/>
    <col min="7433" max="7433" width="16" style="227" customWidth="1"/>
    <col min="7434" max="7680" width="11.140625" style="227"/>
    <col min="7681" max="7681" width="8.85546875" style="227" customWidth="1"/>
    <col min="7682" max="7682" width="4.7109375" style="227" customWidth="1"/>
    <col min="7683" max="7683" width="21.28515625" style="227" customWidth="1"/>
    <col min="7684" max="7684" width="15.140625" style="227" customWidth="1"/>
    <col min="7685" max="7685" width="11" style="227" customWidth="1"/>
    <col min="7686" max="7686" width="14.28515625" style="227" customWidth="1"/>
    <col min="7687" max="7687" width="14.140625" style="227" customWidth="1"/>
    <col min="7688" max="7688" width="11.140625" style="227" customWidth="1"/>
    <col min="7689" max="7689" width="16" style="227" customWidth="1"/>
    <col min="7690" max="7936" width="11.140625" style="227"/>
    <col min="7937" max="7937" width="8.85546875" style="227" customWidth="1"/>
    <col min="7938" max="7938" width="4.7109375" style="227" customWidth="1"/>
    <col min="7939" max="7939" width="21.28515625" style="227" customWidth="1"/>
    <col min="7940" max="7940" width="15.140625" style="227" customWidth="1"/>
    <col min="7941" max="7941" width="11" style="227" customWidth="1"/>
    <col min="7942" max="7942" width="14.28515625" style="227" customWidth="1"/>
    <col min="7943" max="7943" width="14.140625" style="227" customWidth="1"/>
    <col min="7944" max="7944" width="11.140625" style="227" customWidth="1"/>
    <col min="7945" max="7945" width="16" style="227" customWidth="1"/>
    <col min="7946" max="8192" width="11.140625" style="227"/>
    <col min="8193" max="8193" width="8.85546875" style="227" customWidth="1"/>
    <col min="8194" max="8194" width="4.7109375" style="227" customWidth="1"/>
    <col min="8195" max="8195" width="21.28515625" style="227" customWidth="1"/>
    <col min="8196" max="8196" width="15.140625" style="227" customWidth="1"/>
    <col min="8197" max="8197" width="11" style="227" customWidth="1"/>
    <col min="8198" max="8198" width="14.28515625" style="227" customWidth="1"/>
    <col min="8199" max="8199" width="14.140625" style="227" customWidth="1"/>
    <col min="8200" max="8200" width="11.140625" style="227" customWidth="1"/>
    <col min="8201" max="8201" width="16" style="227" customWidth="1"/>
    <col min="8202" max="8448" width="11.140625" style="227"/>
    <col min="8449" max="8449" width="8.85546875" style="227" customWidth="1"/>
    <col min="8450" max="8450" width="4.7109375" style="227" customWidth="1"/>
    <col min="8451" max="8451" width="21.28515625" style="227" customWidth="1"/>
    <col min="8452" max="8452" width="15.140625" style="227" customWidth="1"/>
    <col min="8453" max="8453" width="11" style="227" customWidth="1"/>
    <col min="8454" max="8454" width="14.28515625" style="227" customWidth="1"/>
    <col min="8455" max="8455" width="14.140625" style="227" customWidth="1"/>
    <col min="8456" max="8456" width="11.140625" style="227" customWidth="1"/>
    <col min="8457" max="8457" width="16" style="227" customWidth="1"/>
    <col min="8458" max="8704" width="11.140625" style="227"/>
    <col min="8705" max="8705" width="8.85546875" style="227" customWidth="1"/>
    <col min="8706" max="8706" width="4.7109375" style="227" customWidth="1"/>
    <col min="8707" max="8707" width="21.28515625" style="227" customWidth="1"/>
    <col min="8708" max="8708" width="15.140625" style="227" customWidth="1"/>
    <col min="8709" max="8709" width="11" style="227" customWidth="1"/>
    <col min="8710" max="8710" width="14.28515625" style="227" customWidth="1"/>
    <col min="8711" max="8711" width="14.140625" style="227" customWidth="1"/>
    <col min="8712" max="8712" width="11.140625" style="227" customWidth="1"/>
    <col min="8713" max="8713" width="16" style="227" customWidth="1"/>
    <col min="8714" max="8960" width="11.140625" style="227"/>
    <col min="8961" max="8961" width="8.85546875" style="227" customWidth="1"/>
    <col min="8962" max="8962" width="4.7109375" style="227" customWidth="1"/>
    <col min="8963" max="8963" width="21.28515625" style="227" customWidth="1"/>
    <col min="8964" max="8964" width="15.140625" style="227" customWidth="1"/>
    <col min="8965" max="8965" width="11" style="227" customWidth="1"/>
    <col min="8966" max="8966" width="14.28515625" style="227" customWidth="1"/>
    <col min="8967" max="8967" width="14.140625" style="227" customWidth="1"/>
    <col min="8968" max="8968" width="11.140625" style="227" customWidth="1"/>
    <col min="8969" max="8969" width="16" style="227" customWidth="1"/>
    <col min="8970" max="9216" width="11.140625" style="227"/>
    <col min="9217" max="9217" width="8.85546875" style="227" customWidth="1"/>
    <col min="9218" max="9218" width="4.7109375" style="227" customWidth="1"/>
    <col min="9219" max="9219" width="21.28515625" style="227" customWidth="1"/>
    <col min="9220" max="9220" width="15.140625" style="227" customWidth="1"/>
    <col min="9221" max="9221" width="11" style="227" customWidth="1"/>
    <col min="9222" max="9222" width="14.28515625" style="227" customWidth="1"/>
    <col min="9223" max="9223" width="14.140625" style="227" customWidth="1"/>
    <col min="9224" max="9224" width="11.140625" style="227" customWidth="1"/>
    <col min="9225" max="9225" width="16" style="227" customWidth="1"/>
    <col min="9226" max="9472" width="11.140625" style="227"/>
    <col min="9473" max="9473" width="8.85546875" style="227" customWidth="1"/>
    <col min="9474" max="9474" width="4.7109375" style="227" customWidth="1"/>
    <col min="9475" max="9475" width="21.28515625" style="227" customWidth="1"/>
    <col min="9476" max="9476" width="15.140625" style="227" customWidth="1"/>
    <col min="9477" max="9477" width="11" style="227" customWidth="1"/>
    <col min="9478" max="9478" width="14.28515625" style="227" customWidth="1"/>
    <col min="9479" max="9479" width="14.140625" style="227" customWidth="1"/>
    <col min="9480" max="9480" width="11.140625" style="227" customWidth="1"/>
    <col min="9481" max="9481" width="16" style="227" customWidth="1"/>
    <col min="9482" max="9728" width="11.140625" style="227"/>
    <col min="9729" max="9729" width="8.85546875" style="227" customWidth="1"/>
    <col min="9730" max="9730" width="4.7109375" style="227" customWidth="1"/>
    <col min="9731" max="9731" width="21.28515625" style="227" customWidth="1"/>
    <col min="9732" max="9732" width="15.140625" style="227" customWidth="1"/>
    <col min="9733" max="9733" width="11" style="227" customWidth="1"/>
    <col min="9734" max="9734" width="14.28515625" style="227" customWidth="1"/>
    <col min="9735" max="9735" width="14.140625" style="227" customWidth="1"/>
    <col min="9736" max="9736" width="11.140625" style="227" customWidth="1"/>
    <col min="9737" max="9737" width="16" style="227" customWidth="1"/>
    <col min="9738" max="9984" width="11.140625" style="227"/>
    <col min="9985" max="9985" width="8.85546875" style="227" customWidth="1"/>
    <col min="9986" max="9986" width="4.7109375" style="227" customWidth="1"/>
    <col min="9987" max="9987" width="21.28515625" style="227" customWidth="1"/>
    <col min="9988" max="9988" width="15.140625" style="227" customWidth="1"/>
    <col min="9989" max="9989" width="11" style="227" customWidth="1"/>
    <col min="9990" max="9990" width="14.28515625" style="227" customWidth="1"/>
    <col min="9991" max="9991" width="14.140625" style="227" customWidth="1"/>
    <col min="9992" max="9992" width="11.140625" style="227" customWidth="1"/>
    <col min="9993" max="9993" width="16" style="227" customWidth="1"/>
    <col min="9994" max="10240" width="11.140625" style="227"/>
    <col min="10241" max="10241" width="8.85546875" style="227" customWidth="1"/>
    <col min="10242" max="10242" width="4.7109375" style="227" customWidth="1"/>
    <col min="10243" max="10243" width="21.28515625" style="227" customWidth="1"/>
    <col min="10244" max="10244" width="15.140625" style="227" customWidth="1"/>
    <col min="10245" max="10245" width="11" style="227" customWidth="1"/>
    <col min="10246" max="10246" width="14.28515625" style="227" customWidth="1"/>
    <col min="10247" max="10247" width="14.140625" style="227" customWidth="1"/>
    <col min="10248" max="10248" width="11.140625" style="227" customWidth="1"/>
    <col min="10249" max="10249" width="16" style="227" customWidth="1"/>
    <col min="10250" max="10496" width="11.140625" style="227"/>
    <col min="10497" max="10497" width="8.85546875" style="227" customWidth="1"/>
    <col min="10498" max="10498" width="4.7109375" style="227" customWidth="1"/>
    <col min="10499" max="10499" width="21.28515625" style="227" customWidth="1"/>
    <col min="10500" max="10500" width="15.140625" style="227" customWidth="1"/>
    <col min="10501" max="10501" width="11" style="227" customWidth="1"/>
    <col min="10502" max="10502" width="14.28515625" style="227" customWidth="1"/>
    <col min="10503" max="10503" width="14.140625" style="227" customWidth="1"/>
    <col min="10504" max="10504" width="11.140625" style="227" customWidth="1"/>
    <col min="10505" max="10505" width="16" style="227" customWidth="1"/>
    <col min="10506" max="10752" width="11.140625" style="227"/>
    <col min="10753" max="10753" width="8.85546875" style="227" customWidth="1"/>
    <col min="10754" max="10754" width="4.7109375" style="227" customWidth="1"/>
    <col min="10755" max="10755" width="21.28515625" style="227" customWidth="1"/>
    <col min="10756" max="10756" width="15.140625" style="227" customWidth="1"/>
    <col min="10757" max="10757" width="11" style="227" customWidth="1"/>
    <col min="10758" max="10758" width="14.28515625" style="227" customWidth="1"/>
    <col min="10759" max="10759" width="14.140625" style="227" customWidth="1"/>
    <col min="10760" max="10760" width="11.140625" style="227" customWidth="1"/>
    <col min="10761" max="10761" width="16" style="227" customWidth="1"/>
    <col min="10762" max="11008" width="11.140625" style="227"/>
    <col min="11009" max="11009" width="8.85546875" style="227" customWidth="1"/>
    <col min="11010" max="11010" width="4.7109375" style="227" customWidth="1"/>
    <col min="11011" max="11011" width="21.28515625" style="227" customWidth="1"/>
    <col min="11012" max="11012" width="15.140625" style="227" customWidth="1"/>
    <col min="11013" max="11013" width="11" style="227" customWidth="1"/>
    <col min="11014" max="11014" width="14.28515625" style="227" customWidth="1"/>
    <col min="11015" max="11015" width="14.140625" style="227" customWidth="1"/>
    <col min="11016" max="11016" width="11.140625" style="227" customWidth="1"/>
    <col min="11017" max="11017" width="16" style="227" customWidth="1"/>
    <col min="11018" max="11264" width="11.140625" style="227"/>
    <col min="11265" max="11265" width="8.85546875" style="227" customWidth="1"/>
    <col min="11266" max="11266" width="4.7109375" style="227" customWidth="1"/>
    <col min="11267" max="11267" width="21.28515625" style="227" customWidth="1"/>
    <col min="11268" max="11268" width="15.140625" style="227" customWidth="1"/>
    <col min="11269" max="11269" width="11" style="227" customWidth="1"/>
    <col min="11270" max="11270" width="14.28515625" style="227" customWidth="1"/>
    <col min="11271" max="11271" width="14.140625" style="227" customWidth="1"/>
    <col min="11272" max="11272" width="11.140625" style="227" customWidth="1"/>
    <col min="11273" max="11273" width="16" style="227" customWidth="1"/>
    <col min="11274" max="11520" width="11.140625" style="227"/>
    <col min="11521" max="11521" width="8.85546875" style="227" customWidth="1"/>
    <col min="11522" max="11522" width="4.7109375" style="227" customWidth="1"/>
    <col min="11523" max="11523" width="21.28515625" style="227" customWidth="1"/>
    <col min="11524" max="11524" width="15.140625" style="227" customWidth="1"/>
    <col min="11525" max="11525" width="11" style="227" customWidth="1"/>
    <col min="11526" max="11526" width="14.28515625" style="227" customWidth="1"/>
    <col min="11527" max="11527" width="14.140625" style="227" customWidth="1"/>
    <col min="11528" max="11528" width="11.140625" style="227" customWidth="1"/>
    <col min="11529" max="11529" width="16" style="227" customWidth="1"/>
    <col min="11530" max="11776" width="11.140625" style="227"/>
    <col min="11777" max="11777" width="8.85546875" style="227" customWidth="1"/>
    <col min="11778" max="11778" width="4.7109375" style="227" customWidth="1"/>
    <col min="11779" max="11779" width="21.28515625" style="227" customWidth="1"/>
    <col min="11780" max="11780" width="15.140625" style="227" customWidth="1"/>
    <col min="11781" max="11781" width="11" style="227" customWidth="1"/>
    <col min="11782" max="11782" width="14.28515625" style="227" customWidth="1"/>
    <col min="11783" max="11783" width="14.140625" style="227" customWidth="1"/>
    <col min="11784" max="11784" width="11.140625" style="227" customWidth="1"/>
    <col min="11785" max="11785" width="16" style="227" customWidth="1"/>
    <col min="11786" max="12032" width="11.140625" style="227"/>
    <col min="12033" max="12033" width="8.85546875" style="227" customWidth="1"/>
    <col min="12034" max="12034" width="4.7109375" style="227" customWidth="1"/>
    <col min="12035" max="12035" width="21.28515625" style="227" customWidth="1"/>
    <col min="12036" max="12036" width="15.140625" style="227" customWidth="1"/>
    <col min="12037" max="12037" width="11" style="227" customWidth="1"/>
    <col min="12038" max="12038" width="14.28515625" style="227" customWidth="1"/>
    <col min="12039" max="12039" width="14.140625" style="227" customWidth="1"/>
    <col min="12040" max="12040" width="11.140625" style="227" customWidth="1"/>
    <col min="12041" max="12041" width="16" style="227" customWidth="1"/>
    <col min="12042" max="12288" width="11.140625" style="227"/>
    <col min="12289" max="12289" width="8.85546875" style="227" customWidth="1"/>
    <col min="12290" max="12290" width="4.7109375" style="227" customWidth="1"/>
    <col min="12291" max="12291" width="21.28515625" style="227" customWidth="1"/>
    <col min="12292" max="12292" width="15.140625" style="227" customWidth="1"/>
    <col min="12293" max="12293" width="11" style="227" customWidth="1"/>
    <col min="12294" max="12294" width="14.28515625" style="227" customWidth="1"/>
    <col min="12295" max="12295" width="14.140625" style="227" customWidth="1"/>
    <col min="12296" max="12296" width="11.140625" style="227" customWidth="1"/>
    <col min="12297" max="12297" width="16" style="227" customWidth="1"/>
    <col min="12298" max="12544" width="11.140625" style="227"/>
    <col min="12545" max="12545" width="8.85546875" style="227" customWidth="1"/>
    <col min="12546" max="12546" width="4.7109375" style="227" customWidth="1"/>
    <col min="12547" max="12547" width="21.28515625" style="227" customWidth="1"/>
    <col min="12548" max="12548" width="15.140625" style="227" customWidth="1"/>
    <col min="12549" max="12549" width="11" style="227" customWidth="1"/>
    <col min="12550" max="12550" width="14.28515625" style="227" customWidth="1"/>
    <col min="12551" max="12551" width="14.140625" style="227" customWidth="1"/>
    <col min="12552" max="12552" width="11.140625" style="227" customWidth="1"/>
    <col min="12553" max="12553" width="16" style="227" customWidth="1"/>
    <col min="12554" max="12800" width="11.140625" style="227"/>
    <col min="12801" max="12801" width="8.85546875" style="227" customWidth="1"/>
    <col min="12802" max="12802" width="4.7109375" style="227" customWidth="1"/>
    <col min="12803" max="12803" width="21.28515625" style="227" customWidth="1"/>
    <col min="12804" max="12804" width="15.140625" style="227" customWidth="1"/>
    <col min="12805" max="12805" width="11" style="227" customWidth="1"/>
    <col min="12806" max="12806" width="14.28515625" style="227" customWidth="1"/>
    <col min="12807" max="12807" width="14.140625" style="227" customWidth="1"/>
    <col min="12808" max="12808" width="11.140625" style="227" customWidth="1"/>
    <col min="12809" max="12809" width="16" style="227" customWidth="1"/>
    <col min="12810" max="13056" width="11.140625" style="227"/>
    <col min="13057" max="13057" width="8.85546875" style="227" customWidth="1"/>
    <col min="13058" max="13058" width="4.7109375" style="227" customWidth="1"/>
    <col min="13059" max="13059" width="21.28515625" style="227" customWidth="1"/>
    <col min="13060" max="13060" width="15.140625" style="227" customWidth="1"/>
    <col min="13061" max="13061" width="11" style="227" customWidth="1"/>
    <col min="13062" max="13062" width="14.28515625" style="227" customWidth="1"/>
    <col min="13063" max="13063" width="14.140625" style="227" customWidth="1"/>
    <col min="13064" max="13064" width="11.140625" style="227" customWidth="1"/>
    <col min="13065" max="13065" width="16" style="227" customWidth="1"/>
    <col min="13066" max="13312" width="11.140625" style="227"/>
    <col min="13313" max="13313" width="8.85546875" style="227" customWidth="1"/>
    <col min="13314" max="13314" width="4.7109375" style="227" customWidth="1"/>
    <col min="13315" max="13315" width="21.28515625" style="227" customWidth="1"/>
    <col min="13316" max="13316" width="15.140625" style="227" customWidth="1"/>
    <col min="13317" max="13317" width="11" style="227" customWidth="1"/>
    <col min="13318" max="13318" width="14.28515625" style="227" customWidth="1"/>
    <col min="13319" max="13319" width="14.140625" style="227" customWidth="1"/>
    <col min="13320" max="13320" width="11.140625" style="227" customWidth="1"/>
    <col min="13321" max="13321" width="16" style="227" customWidth="1"/>
    <col min="13322" max="13568" width="11.140625" style="227"/>
    <col min="13569" max="13569" width="8.85546875" style="227" customWidth="1"/>
    <col min="13570" max="13570" width="4.7109375" style="227" customWidth="1"/>
    <col min="13571" max="13571" width="21.28515625" style="227" customWidth="1"/>
    <col min="13572" max="13572" width="15.140625" style="227" customWidth="1"/>
    <col min="13573" max="13573" width="11" style="227" customWidth="1"/>
    <col min="13574" max="13574" width="14.28515625" style="227" customWidth="1"/>
    <col min="13575" max="13575" width="14.140625" style="227" customWidth="1"/>
    <col min="13576" max="13576" width="11.140625" style="227" customWidth="1"/>
    <col min="13577" max="13577" width="16" style="227" customWidth="1"/>
    <col min="13578" max="13824" width="11.140625" style="227"/>
    <col min="13825" max="13825" width="8.85546875" style="227" customWidth="1"/>
    <col min="13826" max="13826" width="4.7109375" style="227" customWidth="1"/>
    <col min="13827" max="13827" width="21.28515625" style="227" customWidth="1"/>
    <col min="13828" max="13828" width="15.140625" style="227" customWidth="1"/>
    <col min="13829" max="13829" width="11" style="227" customWidth="1"/>
    <col min="13830" max="13830" width="14.28515625" style="227" customWidth="1"/>
    <col min="13831" max="13831" width="14.140625" style="227" customWidth="1"/>
    <col min="13832" max="13832" width="11.140625" style="227" customWidth="1"/>
    <col min="13833" max="13833" width="16" style="227" customWidth="1"/>
    <col min="13834" max="14080" width="11.140625" style="227"/>
    <col min="14081" max="14081" width="8.85546875" style="227" customWidth="1"/>
    <col min="14082" max="14082" width="4.7109375" style="227" customWidth="1"/>
    <col min="14083" max="14083" width="21.28515625" style="227" customWidth="1"/>
    <col min="14084" max="14084" width="15.140625" style="227" customWidth="1"/>
    <col min="14085" max="14085" width="11" style="227" customWidth="1"/>
    <col min="14086" max="14086" width="14.28515625" style="227" customWidth="1"/>
    <col min="14087" max="14087" width="14.140625" style="227" customWidth="1"/>
    <col min="14088" max="14088" width="11.140625" style="227" customWidth="1"/>
    <col min="14089" max="14089" width="16" style="227" customWidth="1"/>
    <col min="14090" max="14336" width="11.140625" style="227"/>
    <col min="14337" max="14337" width="8.85546875" style="227" customWidth="1"/>
    <col min="14338" max="14338" width="4.7109375" style="227" customWidth="1"/>
    <col min="14339" max="14339" width="21.28515625" style="227" customWidth="1"/>
    <col min="14340" max="14340" width="15.140625" style="227" customWidth="1"/>
    <col min="14341" max="14341" width="11" style="227" customWidth="1"/>
    <col min="14342" max="14342" width="14.28515625" style="227" customWidth="1"/>
    <col min="14343" max="14343" width="14.140625" style="227" customWidth="1"/>
    <col min="14344" max="14344" width="11.140625" style="227" customWidth="1"/>
    <col min="14345" max="14345" width="16" style="227" customWidth="1"/>
    <col min="14346" max="14592" width="11.140625" style="227"/>
    <col min="14593" max="14593" width="8.85546875" style="227" customWidth="1"/>
    <col min="14594" max="14594" width="4.7109375" style="227" customWidth="1"/>
    <col min="14595" max="14595" width="21.28515625" style="227" customWidth="1"/>
    <col min="14596" max="14596" width="15.140625" style="227" customWidth="1"/>
    <col min="14597" max="14597" width="11" style="227" customWidth="1"/>
    <col min="14598" max="14598" width="14.28515625" style="227" customWidth="1"/>
    <col min="14599" max="14599" width="14.140625" style="227" customWidth="1"/>
    <col min="14600" max="14600" width="11.140625" style="227" customWidth="1"/>
    <col min="14601" max="14601" width="16" style="227" customWidth="1"/>
    <col min="14602" max="14848" width="11.140625" style="227"/>
    <col min="14849" max="14849" width="8.85546875" style="227" customWidth="1"/>
    <col min="14850" max="14850" width="4.7109375" style="227" customWidth="1"/>
    <col min="14851" max="14851" width="21.28515625" style="227" customWidth="1"/>
    <col min="14852" max="14852" width="15.140625" style="227" customWidth="1"/>
    <col min="14853" max="14853" width="11" style="227" customWidth="1"/>
    <col min="14854" max="14854" width="14.28515625" style="227" customWidth="1"/>
    <col min="14855" max="14855" width="14.140625" style="227" customWidth="1"/>
    <col min="14856" max="14856" width="11.140625" style="227" customWidth="1"/>
    <col min="14857" max="14857" width="16" style="227" customWidth="1"/>
    <col min="14858" max="15104" width="11.140625" style="227"/>
    <col min="15105" max="15105" width="8.85546875" style="227" customWidth="1"/>
    <col min="15106" max="15106" width="4.7109375" style="227" customWidth="1"/>
    <col min="15107" max="15107" width="21.28515625" style="227" customWidth="1"/>
    <col min="15108" max="15108" width="15.140625" style="227" customWidth="1"/>
    <col min="15109" max="15109" width="11" style="227" customWidth="1"/>
    <col min="15110" max="15110" width="14.28515625" style="227" customWidth="1"/>
    <col min="15111" max="15111" width="14.140625" style="227" customWidth="1"/>
    <col min="15112" max="15112" width="11.140625" style="227" customWidth="1"/>
    <col min="15113" max="15113" width="16" style="227" customWidth="1"/>
    <col min="15114" max="15360" width="11.140625" style="227"/>
    <col min="15361" max="15361" width="8.85546875" style="227" customWidth="1"/>
    <col min="15362" max="15362" width="4.7109375" style="227" customWidth="1"/>
    <col min="15363" max="15363" width="21.28515625" style="227" customWidth="1"/>
    <col min="15364" max="15364" width="15.140625" style="227" customWidth="1"/>
    <col min="15365" max="15365" width="11" style="227" customWidth="1"/>
    <col min="15366" max="15366" width="14.28515625" style="227" customWidth="1"/>
    <col min="15367" max="15367" width="14.140625" style="227" customWidth="1"/>
    <col min="15368" max="15368" width="11.140625" style="227" customWidth="1"/>
    <col min="15369" max="15369" width="16" style="227" customWidth="1"/>
    <col min="15370" max="15616" width="11.140625" style="227"/>
    <col min="15617" max="15617" width="8.85546875" style="227" customWidth="1"/>
    <col min="15618" max="15618" width="4.7109375" style="227" customWidth="1"/>
    <col min="15619" max="15619" width="21.28515625" style="227" customWidth="1"/>
    <col min="15620" max="15620" width="15.140625" style="227" customWidth="1"/>
    <col min="15621" max="15621" width="11" style="227" customWidth="1"/>
    <col min="15622" max="15622" width="14.28515625" style="227" customWidth="1"/>
    <col min="15623" max="15623" width="14.140625" style="227" customWidth="1"/>
    <col min="15624" max="15624" width="11.140625" style="227" customWidth="1"/>
    <col min="15625" max="15625" width="16" style="227" customWidth="1"/>
    <col min="15626" max="15872" width="11.140625" style="227"/>
    <col min="15873" max="15873" width="8.85546875" style="227" customWidth="1"/>
    <col min="15874" max="15874" width="4.7109375" style="227" customWidth="1"/>
    <col min="15875" max="15875" width="21.28515625" style="227" customWidth="1"/>
    <col min="15876" max="15876" width="15.140625" style="227" customWidth="1"/>
    <col min="15877" max="15877" width="11" style="227" customWidth="1"/>
    <col min="15878" max="15878" width="14.28515625" style="227" customWidth="1"/>
    <col min="15879" max="15879" width="14.140625" style="227" customWidth="1"/>
    <col min="15880" max="15880" width="11.140625" style="227" customWidth="1"/>
    <col min="15881" max="15881" width="16" style="227" customWidth="1"/>
    <col min="15882" max="16128" width="11.140625" style="227"/>
    <col min="16129" max="16129" width="8.85546875" style="227" customWidth="1"/>
    <col min="16130" max="16130" width="4.7109375" style="227" customWidth="1"/>
    <col min="16131" max="16131" width="21.28515625" style="227" customWidth="1"/>
    <col min="16132" max="16132" width="15.140625" style="227" customWidth="1"/>
    <col min="16133" max="16133" width="11" style="227" customWidth="1"/>
    <col min="16134" max="16134" width="14.28515625" style="227" customWidth="1"/>
    <col min="16135" max="16135" width="14.140625" style="227" customWidth="1"/>
    <col min="16136" max="16136" width="11.140625" style="227" customWidth="1"/>
    <col min="16137" max="16137" width="16" style="227" customWidth="1"/>
    <col min="16138" max="16384" width="11.140625" style="227"/>
  </cols>
  <sheetData>
    <row r="1" spans="1:9" ht="11.25" customHeight="1" x14ac:dyDescent="0.25">
      <c r="A1" s="226" t="s">
        <v>477</v>
      </c>
    </row>
    <row r="2" spans="1:9" ht="16.149999999999999" customHeight="1" x14ac:dyDescent="0.25">
      <c r="A2" s="228" t="s">
        <v>87</v>
      </c>
      <c r="B2" s="229" t="s">
        <v>180</v>
      </c>
      <c r="C2" s="228" t="s">
        <v>88</v>
      </c>
      <c r="D2" s="3153" t="s">
        <v>424</v>
      </c>
      <c r="E2" s="3154"/>
      <c r="F2" s="3154"/>
      <c r="G2" s="3155"/>
      <c r="H2" s="230"/>
      <c r="I2" s="230"/>
    </row>
    <row r="3" spans="1:9" ht="7.15" customHeight="1" x14ac:dyDescent="0.25">
      <c r="A3" s="231"/>
      <c r="B3" s="232"/>
      <c r="C3" s="231"/>
      <c r="D3" s="233"/>
      <c r="E3" s="233"/>
      <c r="F3" s="233"/>
      <c r="G3" s="233"/>
      <c r="H3" s="230"/>
      <c r="I3" s="230"/>
    </row>
    <row r="4" spans="1:9" ht="11.25" customHeight="1" x14ac:dyDescent="0.25">
      <c r="A4" s="234"/>
      <c r="D4" s="3156" t="s">
        <v>478</v>
      </c>
      <c r="E4" s="3156"/>
      <c r="F4" s="3156"/>
      <c r="G4" s="3156"/>
    </row>
    <row r="5" spans="1:9" ht="11.25" customHeight="1" x14ac:dyDescent="0.25">
      <c r="A5" s="234"/>
      <c r="D5" s="235"/>
      <c r="E5" s="235"/>
      <c r="F5" s="235"/>
      <c r="G5" s="235"/>
    </row>
    <row r="6" spans="1:9" ht="11.25" customHeight="1" x14ac:dyDescent="0.25">
      <c r="A6" s="228" t="s">
        <v>4</v>
      </c>
      <c r="B6" s="236" t="s">
        <v>144</v>
      </c>
      <c r="C6" s="228" t="s">
        <v>96</v>
      </c>
      <c r="D6" s="3150" t="s">
        <v>146</v>
      </c>
      <c r="E6" s="3151"/>
      <c r="F6" s="3151"/>
      <c r="G6" s="3152"/>
    </row>
    <row r="7" spans="1:9" ht="11.25" customHeight="1" x14ac:dyDescent="0.25">
      <c r="D7" s="237"/>
      <c r="E7" s="237"/>
      <c r="F7" s="237"/>
      <c r="G7" s="237"/>
    </row>
    <row r="8" spans="1:9" ht="12.75" customHeight="1" x14ac:dyDescent="0.25">
      <c r="A8" s="230"/>
      <c r="B8" s="231"/>
      <c r="C8" s="238"/>
      <c r="D8" s="239" t="s">
        <v>6</v>
      </c>
      <c r="E8" s="2413" t="s">
        <v>97</v>
      </c>
      <c r="F8" s="2414"/>
      <c r="G8" s="2415"/>
    </row>
    <row r="9" spans="1:9" ht="11.25" customHeight="1" x14ac:dyDescent="0.25">
      <c r="A9" s="231"/>
      <c r="B9" s="231"/>
      <c r="C9" s="228" t="s">
        <v>89</v>
      </c>
      <c r="D9" s="240">
        <v>2018</v>
      </c>
      <c r="E9" s="241">
        <v>2019</v>
      </c>
      <c r="F9" s="241">
        <v>2020</v>
      </c>
      <c r="G9" s="241">
        <v>2021</v>
      </c>
    </row>
    <row r="10" spans="1:9" ht="11.25" customHeight="1" x14ac:dyDescent="0.25">
      <c r="A10" s="230"/>
      <c r="B10" s="230"/>
      <c r="C10" s="242" t="s">
        <v>90</v>
      </c>
      <c r="D10" s="243">
        <f>541300+60000</f>
        <v>601300</v>
      </c>
      <c r="E10" s="243">
        <f>541300+60000</f>
        <v>601300</v>
      </c>
      <c r="F10" s="243">
        <f>541300+60000</f>
        <v>601300</v>
      </c>
      <c r="G10" s="243">
        <f>541300+60000</f>
        <v>601300</v>
      </c>
    </row>
    <row r="11" spans="1:9" ht="11.25" customHeight="1" x14ac:dyDescent="0.25">
      <c r="A11" s="230"/>
      <c r="B11" s="230"/>
      <c r="C11" s="242" t="s">
        <v>91</v>
      </c>
      <c r="D11" s="243">
        <v>123742</v>
      </c>
      <c r="E11" s="243">
        <f>123742+10000</f>
        <v>133742</v>
      </c>
      <c r="F11" s="243">
        <f>123742+15000</f>
        <v>138742</v>
      </c>
      <c r="G11" s="243">
        <f>123742+15000</f>
        <v>138742</v>
      </c>
    </row>
    <row r="12" spans="1:9" ht="11.25" customHeight="1" x14ac:dyDescent="0.25">
      <c r="A12" s="230"/>
      <c r="B12" s="230"/>
      <c r="C12" s="242" t="s">
        <v>92</v>
      </c>
      <c r="D12" s="243">
        <v>72000</v>
      </c>
      <c r="E12" s="243">
        <v>52000</v>
      </c>
      <c r="F12" s="244">
        <v>55000</v>
      </c>
      <c r="G12" s="244">
        <v>55000</v>
      </c>
    </row>
    <row r="13" spans="1:9" ht="11.25" customHeight="1" x14ac:dyDescent="0.25">
      <c r="A13" s="230"/>
      <c r="B13" s="230"/>
      <c r="C13" s="242" t="s">
        <v>93</v>
      </c>
      <c r="D13" s="245">
        <v>0</v>
      </c>
      <c r="E13" s="245">
        <v>0</v>
      </c>
      <c r="F13" s="246">
        <v>0</v>
      </c>
      <c r="G13" s="246">
        <v>0</v>
      </c>
    </row>
    <row r="14" spans="1:9" ht="11.25" customHeight="1" x14ac:dyDescent="0.25">
      <c r="A14" s="230"/>
      <c r="B14" s="230"/>
      <c r="C14" s="242" t="s">
        <v>94</v>
      </c>
      <c r="D14" s="245">
        <v>0</v>
      </c>
      <c r="E14" s="245">
        <v>0</v>
      </c>
      <c r="F14" s="246">
        <v>0</v>
      </c>
      <c r="G14" s="246">
        <v>0</v>
      </c>
    </row>
    <row r="15" spans="1:9" ht="11.25" customHeight="1" x14ac:dyDescent="0.25">
      <c r="A15" s="230"/>
      <c r="B15" s="230"/>
      <c r="C15" s="242" t="s">
        <v>95</v>
      </c>
      <c r="D15" s="247">
        <f>SUM(D10:D14)</f>
        <v>797042</v>
      </c>
      <c r="E15" s="247">
        <f>SUM(E10:E14)</f>
        <v>787042</v>
      </c>
      <c r="F15" s="244">
        <f>SUM(F10:F14)</f>
        <v>795042</v>
      </c>
      <c r="G15" s="244">
        <f>SUM(G10:G14)</f>
        <v>795042</v>
      </c>
    </row>
    <row r="16" spans="1:9" ht="11.25" customHeight="1" x14ac:dyDescent="0.25"/>
    <row r="17" spans="1:7" ht="11.25" customHeight="1" x14ac:dyDescent="0.25">
      <c r="A17" s="228" t="s">
        <v>4</v>
      </c>
      <c r="B17" s="236" t="s">
        <v>143</v>
      </c>
      <c r="C17" s="228" t="s">
        <v>96</v>
      </c>
      <c r="D17" s="3150" t="s">
        <v>479</v>
      </c>
      <c r="E17" s="3151"/>
      <c r="F17" s="3151"/>
      <c r="G17" s="3152"/>
    </row>
    <row r="18" spans="1:7" ht="11.25" customHeight="1" x14ac:dyDescent="0.25"/>
    <row r="19" spans="1:7" ht="12.75" customHeight="1" x14ac:dyDescent="0.25">
      <c r="A19" s="230"/>
      <c r="B19" s="231"/>
      <c r="C19" s="238"/>
      <c r="D19" s="239" t="s">
        <v>6</v>
      </c>
      <c r="E19" s="2413" t="s">
        <v>97</v>
      </c>
      <c r="F19" s="2414"/>
      <c r="G19" s="2415"/>
    </row>
    <row r="20" spans="1:7" ht="11.25" customHeight="1" x14ac:dyDescent="0.25">
      <c r="A20" s="231"/>
      <c r="B20" s="231"/>
      <c r="C20" s="228" t="s">
        <v>89</v>
      </c>
      <c r="D20" s="240">
        <v>2018</v>
      </c>
      <c r="E20" s="241">
        <v>2019</v>
      </c>
      <c r="F20" s="241">
        <v>2020</v>
      </c>
      <c r="G20" s="241">
        <v>2021</v>
      </c>
    </row>
    <row r="21" spans="1:7" ht="11.25" customHeight="1" x14ac:dyDescent="0.25">
      <c r="A21" s="230"/>
      <c r="B21" s="230"/>
      <c r="C21" s="242" t="s">
        <v>90</v>
      </c>
      <c r="D21" s="248">
        <f>26840+29160</f>
        <v>56000</v>
      </c>
      <c r="E21" s="248">
        <v>26840</v>
      </c>
      <c r="F21" s="248">
        <v>26840</v>
      </c>
      <c r="G21" s="248">
        <v>26840</v>
      </c>
    </row>
    <row r="22" spans="1:7" ht="11.25" customHeight="1" x14ac:dyDescent="0.25">
      <c r="A22" s="230"/>
      <c r="B22" s="230"/>
      <c r="C22" s="242" t="s">
        <v>91</v>
      </c>
      <c r="D22" s="249">
        <f>261040-104540</f>
        <v>156500</v>
      </c>
      <c r="E22" s="249">
        <f>261040-37880</f>
        <v>223160</v>
      </c>
      <c r="F22" s="249">
        <f>261040+12120</f>
        <v>273160</v>
      </c>
      <c r="G22" s="249">
        <f>261040+42120</f>
        <v>303160</v>
      </c>
    </row>
    <row r="23" spans="1:7" ht="11.25" customHeight="1" x14ac:dyDescent="0.25">
      <c r="A23" s="230"/>
      <c r="B23" s="230"/>
      <c r="C23" s="242" t="s">
        <v>92</v>
      </c>
      <c r="D23" s="248">
        <f>69816+240000</f>
        <v>309816</v>
      </c>
      <c r="E23" s="248">
        <v>350000</v>
      </c>
      <c r="F23" s="250">
        <v>350000</v>
      </c>
      <c r="G23" s="250">
        <v>350000</v>
      </c>
    </row>
    <row r="24" spans="1:7" ht="11.25" customHeight="1" x14ac:dyDescent="0.25">
      <c r="A24" s="230"/>
      <c r="B24" s="230"/>
      <c r="C24" s="242" t="s">
        <v>93</v>
      </c>
      <c r="D24" s="248">
        <v>0</v>
      </c>
      <c r="E24" s="248">
        <v>100000</v>
      </c>
      <c r="F24" s="250">
        <v>100000</v>
      </c>
      <c r="G24" s="250">
        <v>100000</v>
      </c>
    </row>
    <row r="25" spans="1:7" ht="11.25" customHeight="1" x14ac:dyDescent="0.25">
      <c r="A25" s="230"/>
      <c r="B25" s="230"/>
      <c r="C25" s="242" t="s">
        <v>94</v>
      </c>
      <c r="D25" s="251">
        <v>0</v>
      </c>
      <c r="E25" s="245">
        <v>0</v>
      </c>
      <c r="F25" s="246">
        <v>0</v>
      </c>
      <c r="G25" s="246">
        <v>0</v>
      </c>
    </row>
    <row r="26" spans="1:7" ht="11.25" customHeight="1" x14ac:dyDescent="0.25">
      <c r="A26" s="230"/>
      <c r="B26" s="230"/>
      <c r="C26" s="242" t="s">
        <v>95</v>
      </c>
      <c r="D26" s="249">
        <f>SUM(D21:D25)</f>
        <v>522316</v>
      </c>
      <c r="E26" s="252">
        <f>SUM(E21:E25)</f>
        <v>700000</v>
      </c>
      <c r="F26" s="253">
        <f>SUM(F21:F25)</f>
        <v>750000</v>
      </c>
      <c r="G26" s="253">
        <f>SUM(G21:G25)</f>
        <v>780000</v>
      </c>
    </row>
    <row r="27" spans="1:7" ht="11.25" customHeight="1" x14ac:dyDescent="0.25"/>
    <row r="28" spans="1:7" ht="11.25" customHeight="1" x14ac:dyDescent="0.25">
      <c r="A28" s="228" t="s">
        <v>4</v>
      </c>
      <c r="B28" s="236" t="s">
        <v>223</v>
      </c>
      <c r="C28" s="228" t="s">
        <v>96</v>
      </c>
      <c r="D28" s="3150" t="s">
        <v>480</v>
      </c>
      <c r="E28" s="3151"/>
      <c r="F28" s="3151"/>
      <c r="G28" s="3152"/>
    </row>
    <row r="29" spans="1:7" ht="11.25" customHeight="1" x14ac:dyDescent="0.25"/>
    <row r="30" spans="1:7" ht="12.75" customHeight="1" x14ac:dyDescent="0.25">
      <c r="A30" s="230"/>
      <c r="B30" s="231"/>
      <c r="C30" s="238"/>
      <c r="D30" s="239" t="s">
        <v>6</v>
      </c>
      <c r="E30" s="2413" t="s">
        <v>97</v>
      </c>
      <c r="F30" s="2414"/>
      <c r="G30" s="2415"/>
    </row>
    <row r="31" spans="1:7" ht="11.25" customHeight="1" x14ac:dyDescent="0.25">
      <c r="A31" s="231"/>
      <c r="B31" s="231"/>
      <c r="C31" s="228" t="s">
        <v>89</v>
      </c>
      <c r="D31" s="240">
        <v>2018</v>
      </c>
      <c r="E31" s="241">
        <v>2019</v>
      </c>
      <c r="F31" s="241">
        <v>2020</v>
      </c>
      <c r="G31" s="241">
        <v>2021</v>
      </c>
    </row>
    <row r="32" spans="1:7" ht="11.25" customHeight="1" x14ac:dyDescent="0.25">
      <c r="A32" s="230"/>
      <c r="B32" s="230"/>
      <c r="C32" s="242" t="s">
        <v>90</v>
      </c>
      <c r="D32" s="254">
        <f>18014300+1148480</f>
        <v>19162780</v>
      </c>
      <c r="E32" s="251">
        <f>19116143+66141</f>
        <v>19182284</v>
      </c>
      <c r="F32" s="255">
        <f>18953236+91141</f>
        <v>19044377</v>
      </c>
      <c r="G32" s="255">
        <f>18953236+91141</f>
        <v>19044377</v>
      </c>
    </row>
    <row r="33" spans="1:7" ht="11.25" customHeight="1" x14ac:dyDescent="0.25">
      <c r="A33" s="230"/>
      <c r="B33" s="230"/>
      <c r="C33" s="242" t="s">
        <v>91</v>
      </c>
      <c r="D33" s="251">
        <f>1293800-40000</f>
        <v>1253800</v>
      </c>
      <c r="E33" s="251">
        <f>1683857-5000-66141</f>
        <v>1612716</v>
      </c>
      <c r="F33" s="251">
        <f>2046764-91141</f>
        <v>1955623</v>
      </c>
      <c r="G33" s="251">
        <f>2046764-91141</f>
        <v>1955623</v>
      </c>
    </row>
    <row r="34" spans="1:7" ht="11.25" customHeight="1" x14ac:dyDescent="0.25">
      <c r="A34" s="230"/>
      <c r="B34" s="230"/>
      <c r="C34" s="242" t="s">
        <v>92</v>
      </c>
      <c r="D34" s="255">
        <f>1509389+248558</f>
        <v>1757947</v>
      </c>
      <c r="E34" s="255">
        <v>1270000</v>
      </c>
      <c r="F34" s="246">
        <v>1937000</v>
      </c>
      <c r="G34" s="246">
        <v>1637000</v>
      </c>
    </row>
    <row r="35" spans="1:7" ht="11.25" customHeight="1" x14ac:dyDescent="0.25">
      <c r="A35" s="230"/>
      <c r="B35" s="230"/>
      <c r="C35" s="242" t="s">
        <v>93</v>
      </c>
      <c r="D35" s="255">
        <v>0</v>
      </c>
      <c r="E35" s="255">
        <v>0</v>
      </c>
      <c r="F35" s="246">
        <v>0</v>
      </c>
      <c r="G35" s="246">
        <v>0</v>
      </c>
    </row>
    <row r="36" spans="1:7" ht="11.25" customHeight="1" x14ac:dyDescent="0.25">
      <c r="A36" s="230"/>
      <c r="B36" s="230"/>
      <c r="C36" s="242" t="s">
        <v>94</v>
      </c>
      <c r="D36" s="245">
        <v>0</v>
      </c>
      <c r="E36" s="245">
        <v>0</v>
      </c>
      <c r="F36" s="246">
        <v>0</v>
      </c>
      <c r="G36" s="246">
        <v>0</v>
      </c>
    </row>
    <row r="37" spans="1:7" ht="11.25" customHeight="1" x14ac:dyDescent="0.25">
      <c r="A37" s="230"/>
      <c r="B37" s="230"/>
      <c r="C37" s="242" t="s">
        <v>95</v>
      </c>
      <c r="D37" s="247">
        <f>SUM(D32:D36)</f>
        <v>22174527</v>
      </c>
      <c r="E37" s="247">
        <f>SUM(E32:E36)</f>
        <v>22065000</v>
      </c>
      <c r="F37" s="244">
        <f>SUM(F32:F36)</f>
        <v>22937000</v>
      </c>
      <c r="G37" s="244">
        <f>SUM(G32:G36)</f>
        <v>22637000</v>
      </c>
    </row>
    <row r="38" spans="1:7" ht="11.25" customHeight="1" x14ac:dyDescent="0.25"/>
    <row r="39" spans="1:7" ht="11.25" customHeight="1" x14ac:dyDescent="0.25">
      <c r="A39" s="228" t="s">
        <v>4</v>
      </c>
      <c r="B39" s="236" t="s">
        <v>367</v>
      </c>
      <c r="C39" s="228" t="s">
        <v>96</v>
      </c>
      <c r="D39" s="3150" t="s">
        <v>481</v>
      </c>
      <c r="E39" s="3151"/>
      <c r="F39" s="3151"/>
      <c r="G39" s="3152"/>
    </row>
    <row r="40" spans="1:7" ht="11.25" customHeight="1" x14ac:dyDescent="0.25"/>
    <row r="41" spans="1:7" ht="12.75" customHeight="1" x14ac:dyDescent="0.25">
      <c r="A41" s="230"/>
      <c r="B41" s="231"/>
      <c r="C41" s="238"/>
      <c r="D41" s="239" t="s">
        <v>6</v>
      </c>
      <c r="E41" s="2413" t="s">
        <v>97</v>
      </c>
      <c r="F41" s="2414"/>
      <c r="G41" s="2415"/>
    </row>
    <row r="42" spans="1:7" ht="11.25" customHeight="1" x14ac:dyDescent="0.25">
      <c r="A42" s="231"/>
      <c r="B42" s="231"/>
      <c r="C42" s="228" t="s">
        <v>89</v>
      </c>
      <c r="D42" s="240">
        <v>2018</v>
      </c>
      <c r="E42" s="241">
        <v>2019</v>
      </c>
      <c r="F42" s="241">
        <v>2020</v>
      </c>
      <c r="G42" s="241">
        <v>2021</v>
      </c>
    </row>
    <row r="43" spans="1:7" ht="11.25" customHeight="1" x14ac:dyDescent="0.25">
      <c r="A43" s="230"/>
      <c r="B43" s="230"/>
      <c r="C43" s="242" t="s">
        <v>90</v>
      </c>
      <c r="D43" s="251">
        <f>5119517+730000</f>
        <v>5849517</v>
      </c>
      <c r="E43" s="251">
        <f>5119517+730000+90679</f>
        <v>5940196</v>
      </c>
      <c r="F43" s="251">
        <f>5119517+730000+90679+137907</f>
        <v>6078103</v>
      </c>
      <c r="G43" s="251">
        <f>5119517+730000+90679+137907</f>
        <v>6078103</v>
      </c>
    </row>
    <row r="44" spans="1:7" ht="11.25" customHeight="1" x14ac:dyDescent="0.25">
      <c r="A44" s="230"/>
      <c r="B44" s="230"/>
      <c r="C44" s="242" t="s">
        <v>91</v>
      </c>
      <c r="D44" s="256">
        <f>523082+18-300000</f>
        <v>223100</v>
      </c>
      <c r="E44" s="256">
        <v>286847</v>
      </c>
      <c r="F44" s="244">
        <v>321897</v>
      </c>
      <c r="G44" s="244">
        <v>321897</v>
      </c>
    </row>
    <row r="45" spans="1:7" ht="11.25" customHeight="1" x14ac:dyDescent="0.25">
      <c r="A45" s="230"/>
      <c r="B45" s="230"/>
      <c r="C45" s="242" t="s">
        <v>92</v>
      </c>
      <c r="D45" s="251">
        <f>870673+151442</f>
        <v>1022115</v>
      </c>
      <c r="E45" s="255">
        <f>800000+462000</f>
        <v>1262000</v>
      </c>
      <c r="F45" s="246">
        <f>800000+462000</f>
        <v>1262000</v>
      </c>
      <c r="G45" s="246">
        <v>1062000</v>
      </c>
    </row>
    <row r="46" spans="1:7" ht="11.25" customHeight="1" x14ac:dyDescent="0.25">
      <c r="A46" s="230"/>
      <c r="B46" s="230"/>
      <c r="C46" s="242" t="s">
        <v>93</v>
      </c>
      <c r="D46" s="256">
        <v>0</v>
      </c>
      <c r="E46" s="256">
        <v>0</v>
      </c>
      <c r="F46" s="244">
        <v>0</v>
      </c>
      <c r="G46" s="244">
        <v>0</v>
      </c>
    </row>
    <row r="47" spans="1:7" ht="11.25" customHeight="1" x14ac:dyDescent="0.25">
      <c r="A47" s="230"/>
      <c r="B47" s="230"/>
      <c r="C47" s="242" t="s">
        <v>94</v>
      </c>
      <c r="D47" s="257">
        <v>0</v>
      </c>
      <c r="E47" s="257">
        <v>0</v>
      </c>
      <c r="F47" s="244">
        <v>0</v>
      </c>
      <c r="G47" s="244">
        <v>0</v>
      </c>
    </row>
    <row r="48" spans="1:7" ht="11.25" customHeight="1" x14ac:dyDescent="0.25">
      <c r="A48" s="230"/>
      <c r="B48" s="230"/>
      <c r="C48" s="242" t="s">
        <v>95</v>
      </c>
      <c r="D48" s="257">
        <f>SUM(D43:D47)</f>
        <v>7094732</v>
      </c>
      <c r="E48" s="257">
        <f>SUM(E43:E47)</f>
        <v>7489043</v>
      </c>
      <c r="F48" s="244">
        <f>SUM(F43:F47)</f>
        <v>7662000</v>
      </c>
      <c r="G48" s="244">
        <f>SUM(G43:G47)</f>
        <v>7462000</v>
      </c>
    </row>
    <row r="49" spans="1:7" ht="11.25" customHeight="1" x14ac:dyDescent="0.25"/>
    <row r="50" spans="1:7" ht="11.25" customHeight="1" x14ac:dyDescent="0.25">
      <c r="A50" s="228" t="s">
        <v>4</v>
      </c>
      <c r="B50" s="236" t="s">
        <v>428</v>
      </c>
      <c r="C50" s="228" t="s">
        <v>96</v>
      </c>
      <c r="D50" s="3150" t="s">
        <v>482</v>
      </c>
      <c r="E50" s="3151"/>
      <c r="F50" s="3151"/>
      <c r="G50" s="3152"/>
    </row>
    <row r="51" spans="1:7" ht="11.25" customHeight="1" x14ac:dyDescent="0.25">
      <c r="A51" s="231"/>
      <c r="B51" s="258"/>
      <c r="C51" s="231"/>
      <c r="D51" s="259"/>
      <c r="E51" s="260"/>
      <c r="F51" s="260"/>
      <c r="G51" s="261"/>
    </row>
    <row r="52" spans="1:7" ht="11.25" customHeight="1" x14ac:dyDescent="0.25">
      <c r="D52" s="239" t="s">
        <v>6</v>
      </c>
      <c r="E52" s="2413" t="s">
        <v>97</v>
      </c>
      <c r="F52" s="2414"/>
      <c r="G52" s="2415"/>
    </row>
    <row r="53" spans="1:7" ht="12.75" customHeight="1" x14ac:dyDescent="0.25">
      <c r="A53" s="230"/>
      <c r="B53" s="231"/>
      <c r="C53" s="238"/>
      <c r="D53" s="240">
        <v>2018</v>
      </c>
      <c r="E53" s="241">
        <v>2019</v>
      </c>
      <c r="F53" s="241">
        <v>2020</v>
      </c>
      <c r="G53" s="241">
        <v>2021</v>
      </c>
    </row>
    <row r="54" spans="1:7" ht="11.25" customHeight="1" x14ac:dyDescent="0.25">
      <c r="A54" s="231"/>
      <c r="B54" s="231"/>
      <c r="C54" s="228" t="s">
        <v>89</v>
      </c>
      <c r="D54" s="251">
        <f>51183+32500</f>
        <v>83683</v>
      </c>
      <c r="E54" s="251">
        <v>0</v>
      </c>
      <c r="F54" s="251">
        <v>0</v>
      </c>
      <c r="G54" s="251">
        <v>0</v>
      </c>
    </row>
    <row r="55" spans="1:7" ht="11.25" customHeight="1" x14ac:dyDescent="0.25">
      <c r="A55" s="230"/>
      <c r="B55" s="230"/>
      <c r="C55" s="242" t="s">
        <v>90</v>
      </c>
      <c r="D55" s="243">
        <f>6563818+174+147528</f>
        <v>6711520</v>
      </c>
      <c r="E55" s="243">
        <f>6723818+24999+66141</f>
        <v>6814958</v>
      </c>
      <c r="F55" s="244">
        <f>6753818+194999+91141</f>
        <v>7039958</v>
      </c>
      <c r="G55" s="244">
        <f>6998817+191141+39040</f>
        <v>7228998</v>
      </c>
    </row>
    <row r="56" spans="1:7" ht="11.25" customHeight="1" x14ac:dyDescent="0.25">
      <c r="A56" s="230"/>
      <c r="B56" s="230"/>
      <c r="C56" s="242" t="s">
        <v>91</v>
      </c>
      <c r="D56" s="251">
        <f>250000+160000</f>
        <v>410000</v>
      </c>
      <c r="E56" s="262">
        <v>530000</v>
      </c>
      <c r="F56" s="262">
        <v>730000</v>
      </c>
      <c r="G56" s="262">
        <v>730000</v>
      </c>
    </row>
    <row r="57" spans="1:7" ht="11.25" customHeight="1" x14ac:dyDescent="0.25">
      <c r="A57" s="230"/>
      <c r="B57" s="230"/>
      <c r="C57" s="242" t="s">
        <v>92</v>
      </c>
      <c r="D57" s="251">
        <v>100000</v>
      </c>
      <c r="E57" s="255">
        <v>100000</v>
      </c>
      <c r="F57" s="246">
        <v>100000</v>
      </c>
      <c r="G57" s="246">
        <v>100000</v>
      </c>
    </row>
    <row r="58" spans="1:7" ht="11.25" customHeight="1" x14ac:dyDescent="0.25">
      <c r="A58" s="230"/>
      <c r="B58" s="230"/>
      <c r="C58" s="242" t="s">
        <v>93</v>
      </c>
      <c r="D58" s="263"/>
      <c r="E58" s="263"/>
      <c r="F58" s="263"/>
      <c r="G58" s="263"/>
    </row>
    <row r="59" spans="1:7" ht="11.25" customHeight="1" x14ac:dyDescent="0.25">
      <c r="A59" s="230"/>
      <c r="B59" s="230"/>
      <c r="C59" s="242" t="s">
        <v>94</v>
      </c>
      <c r="D59" s="257"/>
      <c r="E59" s="257"/>
      <c r="F59" s="244"/>
      <c r="G59" s="244"/>
    </row>
    <row r="60" spans="1:7" ht="11.25" customHeight="1" x14ac:dyDescent="0.25">
      <c r="A60" s="230"/>
      <c r="B60" s="230"/>
      <c r="C60" s="242" t="s">
        <v>95</v>
      </c>
      <c r="D60" s="257">
        <f>SUM(D54:D59)</f>
        <v>7305203</v>
      </c>
      <c r="E60" s="257">
        <f>SUM(E54:E59)</f>
        <v>7444958</v>
      </c>
      <c r="F60" s="257">
        <f>SUM(F54:F59)</f>
        <v>7869958</v>
      </c>
      <c r="G60" s="257">
        <f>SUM(G54:G59)</f>
        <v>8058998</v>
      </c>
    </row>
    <row r="61" spans="1:7" ht="11.25" customHeight="1" x14ac:dyDescent="0.25"/>
    <row r="62" spans="1:7" ht="11.25" customHeight="1" x14ac:dyDescent="0.25">
      <c r="A62" s="228" t="s">
        <v>4</v>
      </c>
      <c r="B62" s="236" t="s">
        <v>457</v>
      </c>
      <c r="C62" s="228" t="s">
        <v>96</v>
      </c>
      <c r="D62" s="3150" t="s">
        <v>483</v>
      </c>
      <c r="E62" s="3151"/>
      <c r="F62" s="3151"/>
      <c r="G62" s="3152"/>
    </row>
    <row r="63" spans="1:7" ht="11.25" customHeight="1" x14ac:dyDescent="0.25"/>
    <row r="64" spans="1:7" ht="12.75" customHeight="1" x14ac:dyDescent="0.25">
      <c r="A64" s="230"/>
      <c r="B64" s="231"/>
      <c r="C64" s="238"/>
      <c r="D64" s="239" t="s">
        <v>6</v>
      </c>
      <c r="E64" s="2413" t="s">
        <v>97</v>
      </c>
      <c r="F64" s="2414"/>
      <c r="G64" s="2415"/>
    </row>
    <row r="65" spans="1:7" ht="11.25" customHeight="1" x14ac:dyDescent="0.25">
      <c r="A65" s="231"/>
      <c r="B65" s="231"/>
      <c r="C65" s="228" t="s">
        <v>89</v>
      </c>
      <c r="D65" s="240">
        <v>2018</v>
      </c>
      <c r="E65" s="241">
        <v>2019</v>
      </c>
      <c r="F65" s="241">
        <v>2020</v>
      </c>
      <c r="G65" s="241">
        <v>2021</v>
      </c>
    </row>
    <row r="66" spans="1:7" ht="11.25" customHeight="1" x14ac:dyDescent="0.25">
      <c r="A66" s="230"/>
      <c r="B66" s="230"/>
      <c r="C66" s="242" t="s">
        <v>90</v>
      </c>
      <c r="D66" s="251">
        <f>20160-2660</f>
        <v>17500</v>
      </c>
      <c r="E66" s="251">
        <v>20160</v>
      </c>
      <c r="F66" s="251">
        <v>20160</v>
      </c>
      <c r="G66" s="251">
        <v>20160</v>
      </c>
    </row>
    <row r="67" spans="1:7" ht="11.25" customHeight="1" x14ac:dyDescent="0.25">
      <c r="A67" s="230"/>
      <c r="B67" s="230"/>
      <c r="C67" s="242" t="s">
        <v>91</v>
      </c>
      <c r="D67" s="243">
        <f>378344-77544</f>
        <v>300800</v>
      </c>
      <c r="E67" s="243">
        <f>400800-70960</f>
        <v>329840</v>
      </c>
      <c r="F67" s="244">
        <f>400800-40960</f>
        <v>359840</v>
      </c>
      <c r="G67" s="244">
        <f>400800</f>
        <v>400800</v>
      </c>
    </row>
    <row r="68" spans="1:7" ht="11.25" customHeight="1" x14ac:dyDescent="0.25">
      <c r="A68" s="230"/>
      <c r="B68" s="230"/>
      <c r="C68" s="242" t="s">
        <v>92</v>
      </c>
      <c r="D68" s="255">
        <v>62122</v>
      </c>
      <c r="E68" s="264">
        <v>370000</v>
      </c>
      <c r="F68" s="265">
        <v>400000</v>
      </c>
      <c r="G68" s="265">
        <v>400000</v>
      </c>
    </row>
    <row r="69" spans="1:7" ht="11.25" customHeight="1" x14ac:dyDescent="0.25">
      <c r="A69" s="230"/>
      <c r="B69" s="230"/>
      <c r="C69" s="242" t="s">
        <v>93</v>
      </c>
      <c r="D69" s="251">
        <v>100000</v>
      </c>
      <c r="E69" s="251">
        <v>100000</v>
      </c>
      <c r="F69" s="246">
        <v>100000</v>
      </c>
      <c r="G69" s="246">
        <v>100000</v>
      </c>
    </row>
    <row r="70" spans="1:7" ht="11.25" customHeight="1" x14ac:dyDescent="0.25">
      <c r="A70" s="230"/>
      <c r="B70" s="230"/>
      <c r="C70" s="242" t="s">
        <v>94</v>
      </c>
      <c r="D70" s="266"/>
      <c r="E70" s="266"/>
      <c r="F70" s="266"/>
      <c r="G70" s="266"/>
    </row>
    <row r="71" spans="1:7" ht="11.25" customHeight="1" x14ac:dyDescent="0.25">
      <c r="A71" s="230"/>
      <c r="B71" s="230"/>
      <c r="C71" s="242" t="s">
        <v>95</v>
      </c>
      <c r="D71" s="257">
        <f>SUM(D66:D70)</f>
        <v>480422</v>
      </c>
      <c r="E71" s="257">
        <f>SUM(E66:E70)</f>
        <v>820000</v>
      </c>
      <c r="F71" s="257">
        <f>SUM(F66:F70)</f>
        <v>880000</v>
      </c>
      <c r="G71" s="257">
        <f>SUM(G66:G70)</f>
        <v>920960</v>
      </c>
    </row>
    <row r="72" spans="1:7" ht="11.25" customHeight="1" x14ac:dyDescent="0.25"/>
    <row r="73" spans="1:7" ht="11.25" customHeight="1" x14ac:dyDescent="0.25">
      <c r="A73" s="228" t="s">
        <v>484</v>
      </c>
      <c r="B73" s="236" t="s">
        <v>180</v>
      </c>
      <c r="C73" s="228"/>
      <c r="D73" s="3150" t="s">
        <v>485</v>
      </c>
      <c r="E73" s="3151"/>
      <c r="F73" s="3151"/>
      <c r="G73" s="3152"/>
    </row>
    <row r="74" spans="1:7" ht="11.25" customHeight="1" x14ac:dyDescent="0.25"/>
    <row r="75" spans="1:7" ht="11.25" customHeight="1" x14ac:dyDescent="0.25">
      <c r="A75" s="230"/>
      <c r="B75" s="231"/>
      <c r="C75" s="238"/>
      <c r="D75" s="239" t="s">
        <v>6</v>
      </c>
      <c r="E75" s="2413" t="s">
        <v>486</v>
      </c>
      <c r="F75" s="2414"/>
      <c r="G75" s="2415"/>
    </row>
    <row r="76" spans="1:7" ht="11.25" customHeight="1" x14ac:dyDescent="0.25">
      <c r="A76" s="231"/>
      <c r="B76" s="231"/>
      <c r="C76" s="228" t="s">
        <v>89</v>
      </c>
      <c r="D76" s="240">
        <v>2018</v>
      </c>
      <c r="E76" s="241">
        <v>2019</v>
      </c>
      <c r="F76" s="241">
        <v>2020</v>
      </c>
      <c r="G76" s="241">
        <v>2021</v>
      </c>
    </row>
    <row r="77" spans="1:7" ht="11.25" customHeight="1" x14ac:dyDescent="0.25">
      <c r="A77" s="230"/>
      <c r="B77" s="230"/>
      <c r="C77" s="242" t="s">
        <v>90</v>
      </c>
      <c r="D77" s="267">
        <f t="shared" ref="D77:G81" si="0">D10+D21+D32+D43+D54+D66</f>
        <v>25770780</v>
      </c>
      <c r="E77" s="267">
        <f t="shared" si="0"/>
        <v>25770780</v>
      </c>
      <c r="F77" s="267">
        <f t="shared" si="0"/>
        <v>25770780</v>
      </c>
      <c r="G77" s="267">
        <f t="shared" si="0"/>
        <v>25770780</v>
      </c>
    </row>
    <row r="78" spans="1:7" ht="11.25" customHeight="1" x14ac:dyDescent="0.25">
      <c r="A78" s="230"/>
      <c r="B78" s="230"/>
      <c r="C78" s="242" t="s">
        <v>91</v>
      </c>
      <c r="D78" s="267">
        <f t="shared" si="0"/>
        <v>8769462</v>
      </c>
      <c r="E78" s="267">
        <f t="shared" si="0"/>
        <v>9401263</v>
      </c>
      <c r="F78" s="267">
        <f t="shared" si="0"/>
        <v>10089220</v>
      </c>
      <c r="G78" s="267">
        <f t="shared" si="0"/>
        <v>10349220</v>
      </c>
    </row>
    <row r="79" spans="1:7" ht="11.25" customHeight="1" x14ac:dyDescent="0.25">
      <c r="A79" s="230"/>
      <c r="B79" s="230"/>
      <c r="C79" s="242" t="s">
        <v>92</v>
      </c>
      <c r="D79" s="267">
        <f t="shared" si="0"/>
        <v>3634000</v>
      </c>
      <c r="E79" s="267">
        <f t="shared" si="0"/>
        <v>3834000</v>
      </c>
      <c r="F79" s="267">
        <f t="shared" si="0"/>
        <v>4734000</v>
      </c>
      <c r="G79" s="267">
        <f t="shared" si="0"/>
        <v>4234000</v>
      </c>
    </row>
    <row r="80" spans="1:7" ht="11.25" customHeight="1" x14ac:dyDescent="0.25">
      <c r="A80" s="230"/>
      <c r="B80" s="230"/>
      <c r="C80" s="242" t="s">
        <v>93</v>
      </c>
      <c r="D80" s="267">
        <f t="shared" si="0"/>
        <v>200000</v>
      </c>
      <c r="E80" s="267">
        <f t="shared" si="0"/>
        <v>300000</v>
      </c>
      <c r="F80" s="267">
        <f t="shared" si="0"/>
        <v>300000</v>
      </c>
      <c r="G80" s="267">
        <f t="shared" si="0"/>
        <v>300000</v>
      </c>
    </row>
    <row r="81" spans="1:9" ht="11.25" customHeight="1" x14ac:dyDescent="0.25">
      <c r="A81" s="230"/>
      <c r="B81" s="230"/>
      <c r="C81" s="242" t="s">
        <v>94</v>
      </c>
      <c r="D81" s="267">
        <f t="shared" si="0"/>
        <v>0</v>
      </c>
      <c r="E81" s="267">
        <f t="shared" si="0"/>
        <v>0</v>
      </c>
      <c r="F81" s="267">
        <f t="shared" si="0"/>
        <v>0</v>
      </c>
      <c r="G81" s="267">
        <f t="shared" si="0"/>
        <v>0</v>
      </c>
    </row>
    <row r="82" spans="1:9" ht="11.25" customHeight="1" x14ac:dyDescent="0.25">
      <c r="A82" s="230"/>
      <c r="B82" s="230"/>
      <c r="C82" s="242" t="s">
        <v>95</v>
      </c>
      <c r="D82" s="268">
        <f>D15+D26+D37+D48+D60+D71</f>
        <v>38374242</v>
      </c>
      <c r="E82" s="268">
        <f>E15+E26+E37+E48+E60+E71</f>
        <v>39306043</v>
      </c>
      <c r="F82" s="268">
        <f>F15+F26+F37+F48+F60+F71</f>
        <v>40894000</v>
      </c>
      <c r="G82" s="268">
        <f>G15+G26+G37+G48+G60+G71</f>
        <v>40654000</v>
      </c>
    </row>
    <row r="83" spans="1:9" ht="11.25" customHeight="1" x14ac:dyDescent="0.25"/>
    <row r="84" spans="1:9" ht="11.25" customHeight="1" x14ac:dyDescent="0.25">
      <c r="D84" s="244">
        <f>D71+D60+D48++D37+D26+D15</f>
        <v>38374242</v>
      </c>
      <c r="E84" s="244">
        <f>E71+E60+E48++E37+E26+E15</f>
        <v>39306043</v>
      </c>
      <c r="F84" s="244">
        <f>F71+F60+F48++F37+F26+F15</f>
        <v>40894000</v>
      </c>
      <c r="G84" s="244">
        <f>G71+G60+G48++G37+G26+G15</f>
        <v>40654000</v>
      </c>
    </row>
    <row r="85" spans="1:9" ht="11.25" customHeight="1" x14ac:dyDescent="0.25">
      <c r="D85" s="269"/>
      <c r="E85" s="269"/>
      <c r="F85" s="269"/>
    </row>
    <row r="86" spans="1:9" ht="11.25" customHeight="1" x14ac:dyDescent="0.25">
      <c r="A86" s="3157" t="s">
        <v>487</v>
      </c>
      <c r="B86" s="270" t="s">
        <v>80</v>
      </c>
      <c r="C86" s="270"/>
      <c r="D86" s="3157" t="s">
        <v>488</v>
      </c>
      <c r="E86" s="270" t="s">
        <v>80</v>
      </c>
      <c r="F86" s="271"/>
      <c r="G86" s="3157" t="s">
        <v>489</v>
      </c>
      <c r="H86" s="270" t="s">
        <v>80</v>
      </c>
      <c r="I86" s="272"/>
    </row>
    <row r="87" spans="1:9" ht="11.25" customHeight="1" x14ac:dyDescent="0.25">
      <c r="A87" s="3158"/>
      <c r="B87" s="270" t="s">
        <v>490</v>
      </c>
      <c r="C87" s="270"/>
      <c r="D87" s="3158"/>
      <c r="E87" s="270" t="s">
        <v>490</v>
      </c>
      <c r="F87" s="271"/>
      <c r="G87" s="3158"/>
      <c r="H87" s="270" t="s">
        <v>490</v>
      </c>
      <c r="I87" s="272"/>
    </row>
    <row r="88" spans="1:9" ht="19.899999999999999" customHeight="1" x14ac:dyDescent="0.25">
      <c r="A88" s="3159"/>
      <c r="B88" s="270" t="s">
        <v>82</v>
      </c>
      <c r="C88" s="270"/>
      <c r="D88" s="3159"/>
      <c r="E88" s="270" t="s">
        <v>82</v>
      </c>
      <c r="F88" s="271"/>
      <c r="G88" s="3159"/>
      <c r="H88" s="270" t="s">
        <v>82</v>
      </c>
      <c r="I88" s="272"/>
    </row>
    <row r="89" spans="1:9" ht="11.25" customHeight="1" x14ac:dyDescent="0.25"/>
    <row r="90" spans="1:9" ht="11.25" customHeight="1" x14ac:dyDescent="0.25"/>
    <row r="91" spans="1:9" ht="11.25" customHeight="1" x14ac:dyDescent="0.25"/>
    <row r="92" spans="1:9" ht="11.25" customHeight="1" x14ac:dyDescent="0.25"/>
    <row r="93" spans="1:9" ht="11.25" customHeight="1" x14ac:dyDescent="0.25"/>
    <row r="94" spans="1:9" ht="11.25" customHeight="1" x14ac:dyDescent="0.25"/>
    <row r="95" spans="1:9" ht="11.25" customHeight="1" x14ac:dyDescent="0.25"/>
    <row r="96" spans="1:9"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sheetData>
  <mergeCells count="19">
    <mergeCell ref="E75:G75"/>
    <mergeCell ref="A86:A88"/>
    <mergeCell ref="D86:D88"/>
    <mergeCell ref="G86:G88"/>
    <mergeCell ref="D50:G50"/>
    <mergeCell ref="E52:G52"/>
    <mergeCell ref="D62:G62"/>
    <mergeCell ref="E64:G64"/>
    <mergeCell ref="D73:G73"/>
    <mergeCell ref="E30:G30"/>
    <mergeCell ref="D39:G39"/>
    <mergeCell ref="E41:G41"/>
    <mergeCell ref="D2:G2"/>
    <mergeCell ref="D6:G6"/>
    <mergeCell ref="E8:G8"/>
    <mergeCell ref="E19:G19"/>
    <mergeCell ref="D28:G28"/>
    <mergeCell ref="D4:G4"/>
    <mergeCell ref="D17:G17"/>
  </mergeCells>
  <pageMargins left="0.7" right="0.7" top="0.75" bottom="0.75" header="0.3" footer="0.3"/>
  <pageSetup scale="72" orientation="portrait" r:id="rId1"/>
  <rowBreaks count="1" manualBreakCount="1">
    <brk id="45" max="16383" man="1"/>
  </rowBreaks>
  <colBreaks count="1" manualBreakCount="1">
    <brk id="7"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I92"/>
  <sheetViews>
    <sheetView topLeftCell="J1" zoomScale="112" zoomScaleNormal="112" workbookViewId="0">
      <selection activeCell="J6" sqref="J6"/>
    </sheetView>
  </sheetViews>
  <sheetFormatPr defaultColWidth="9.140625" defaultRowHeight="8.25" x14ac:dyDescent="0.25"/>
  <cols>
    <col min="1" max="2" width="5.140625" style="47" hidden="1" customWidth="1"/>
    <col min="3" max="3" width="5.140625" style="223" hidden="1" customWidth="1"/>
    <col min="4" max="4" width="5.7109375" style="124" hidden="1" customWidth="1"/>
    <col min="5" max="5" width="2.85546875" style="224" hidden="1" customWidth="1"/>
    <col min="6" max="6" width="2.42578125" style="47" hidden="1" customWidth="1"/>
    <col min="7" max="7" width="1.85546875" style="47" hidden="1" customWidth="1"/>
    <col min="8" max="8" width="2.42578125" style="47" hidden="1" customWidth="1"/>
    <col min="9" max="9" width="3" style="47" hidden="1" customWidth="1"/>
    <col min="10" max="10" width="29.7109375" style="225" customWidth="1"/>
    <col min="11" max="11" width="8" style="47" customWidth="1"/>
    <col min="12" max="12" width="11.42578125" style="47" customWidth="1"/>
    <col min="13" max="13" width="11.85546875" style="47" hidden="1" customWidth="1"/>
    <col min="14" max="14" width="4.28515625" style="47" customWidth="1"/>
    <col min="15" max="15" width="0.140625" style="47" customWidth="1"/>
    <col min="16" max="16" width="5.140625" style="47" hidden="1" customWidth="1"/>
    <col min="17" max="17" width="6.85546875" style="47" hidden="1" customWidth="1"/>
    <col min="18" max="18" width="5.7109375" style="47" hidden="1" customWidth="1"/>
    <col min="19" max="20" width="5.140625" style="47" hidden="1" customWidth="1"/>
    <col min="21" max="21" width="3.7109375" style="47" hidden="1" customWidth="1"/>
    <col min="22" max="22" width="13.7109375" style="124" hidden="1" customWidth="1"/>
    <col min="23" max="23" width="10.85546875" style="124" customWidth="1"/>
    <col min="24" max="24" width="9.85546875" style="47" customWidth="1"/>
    <col min="25" max="25" width="10.28515625" style="47" customWidth="1"/>
    <col min="26" max="26" width="10" style="47" customWidth="1"/>
    <col min="27" max="27" width="11" style="47" customWidth="1"/>
    <col min="28" max="28" width="11.140625" style="47" customWidth="1"/>
    <col min="29" max="29" width="10.140625" style="47" customWidth="1"/>
    <col min="30" max="31" width="8.7109375" style="47" customWidth="1"/>
    <col min="32" max="32" width="9.140625" style="47" customWidth="1"/>
    <col min="33" max="35" width="5.5703125" style="47" customWidth="1"/>
    <col min="36" max="256" width="9.140625" style="47"/>
    <col min="257" max="265" width="0" style="47" hidden="1" customWidth="1"/>
    <col min="266" max="266" width="29.7109375" style="47" customWidth="1"/>
    <col min="267" max="267" width="8" style="47" customWidth="1"/>
    <col min="268" max="268" width="11.42578125" style="47" customWidth="1"/>
    <col min="269" max="269" width="0" style="47" hidden="1" customWidth="1"/>
    <col min="270" max="270" width="4.28515625" style="47" customWidth="1"/>
    <col min="271" max="271" width="0.140625" style="47" customWidth="1"/>
    <col min="272" max="278" width="0" style="47" hidden="1" customWidth="1"/>
    <col min="279" max="279" width="10.85546875" style="47" customWidth="1"/>
    <col min="280" max="280" width="9.85546875" style="47" customWidth="1"/>
    <col min="281" max="281" width="10.28515625" style="47" customWidth="1"/>
    <col min="282" max="282" width="10" style="47" customWidth="1"/>
    <col min="283" max="283" width="10.140625" style="47" customWidth="1"/>
    <col min="284" max="284" width="9.7109375" style="47" customWidth="1"/>
    <col min="285" max="285" width="10.140625" style="47" customWidth="1"/>
    <col min="286" max="287" width="8.7109375" style="47" customWidth="1"/>
    <col min="288" max="288" width="9.140625" style="47" customWidth="1"/>
    <col min="289" max="291" width="5.5703125" style="47" customWidth="1"/>
    <col min="292" max="512" width="9.140625" style="47"/>
    <col min="513" max="521" width="0" style="47" hidden="1" customWidth="1"/>
    <col min="522" max="522" width="29.7109375" style="47" customWidth="1"/>
    <col min="523" max="523" width="8" style="47" customWidth="1"/>
    <col min="524" max="524" width="11.42578125" style="47" customWidth="1"/>
    <col min="525" max="525" width="0" style="47" hidden="1" customWidth="1"/>
    <col min="526" max="526" width="4.28515625" style="47" customWidth="1"/>
    <col min="527" max="527" width="0.140625" style="47" customWidth="1"/>
    <col min="528" max="534" width="0" style="47" hidden="1" customWidth="1"/>
    <col min="535" max="535" width="10.85546875" style="47" customWidth="1"/>
    <col min="536" max="536" width="9.85546875" style="47" customWidth="1"/>
    <col min="537" max="537" width="10.28515625" style="47" customWidth="1"/>
    <col min="538" max="538" width="10" style="47" customWidth="1"/>
    <col min="539" max="539" width="10.140625" style="47" customWidth="1"/>
    <col min="540" max="540" width="9.7109375" style="47" customWidth="1"/>
    <col min="541" max="541" width="10.140625" style="47" customWidth="1"/>
    <col min="542" max="543" width="8.7109375" style="47" customWidth="1"/>
    <col min="544" max="544" width="9.140625" style="47" customWidth="1"/>
    <col min="545" max="547" width="5.5703125" style="47" customWidth="1"/>
    <col min="548" max="768" width="9.140625" style="47"/>
    <col min="769" max="777" width="0" style="47" hidden="1" customWidth="1"/>
    <col min="778" max="778" width="29.7109375" style="47" customWidth="1"/>
    <col min="779" max="779" width="8" style="47" customWidth="1"/>
    <col min="780" max="780" width="11.42578125" style="47" customWidth="1"/>
    <col min="781" max="781" width="0" style="47" hidden="1" customWidth="1"/>
    <col min="782" max="782" width="4.28515625" style="47" customWidth="1"/>
    <col min="783" max="783" width="0.140625" style="47" customWidth="1"/>
    <col min="784" max="790" width="0" style="47" hidden="1" customWidth="1"/>
    <col min="791" max="791" width="10.85546875" style="47" customWidth="1"/>
    <col min="792" max="792" width="9.85546875" style="47" customWidth="1"/>
    <col min="793" max="793" width="10.28515625" style="47" customWidth="1"/>
    <col min="794" max="794" width="10" style="47" customWidth="1"/>
    <col min="795" max="795" width="10.140625" style="47" customWidth="1"/>
    <col min="796" max="796" width="9.7109375" style="47" customWidth="1"/>
    <col min="797" max="797" width="10.140625" style="47" customWidth="1"/>
    <col min="798" max="799" width="8.7109375" style="47" customWidth="1"/>
    <col min="800" max="800" width="9.140625" style="47" customWidth="1"/>
    <col min="801" max="803" width="5.5703125" style="47" customWidth="1"/>
    <col min="804" max="1024" width="9.140625" style="47"/>
    <col min="1025" max="1033" width="0" style="47" hidden="1" customWidth="1"/>
    <col min="1034" max="1034" width="29.7109375" style="47" customWidth="1"/>
    <col min="1035" max="1035" width="8" style="47" customWidth="1"/>
    <col min="1036" max="1036" width="11.42578125" style="47" customWidth="1"/>
    <col min="1037" max="1037" width="0" style="47" hidden="1" customWidth="1"/>
    <col min="1038" max="1038" width="4.28515625" style="47" customWidth="1"/>
    <col min="1039" max="1039" width="0.140625" style="47" customWidth="1"/>
    <col min="1040" max="1046" width="0" style="47" hidden="1" customWidth="1"/>
    <col min="1047" max="1047" width="10.85546875" style="47" customWidth="1"/>
    <col min="1048" max="1048" width="9.85546875" style="47" customWidth="1"/>
    <col min="1049" max="1049" width="10.28515625" style="47" customWidth="1"/>
    <col min="1050" max="1050" width="10" style="47" customWidth="1"/>
    <col min="1051" max="1051" width="10.140625" style="47" customWidth="1"/>
    <col min="1052" max="1052" width="9.7109375" style="47" customWidth="1"/>
    <col min="1053" max="1053" width="10.140625" style="47" customWidth="1"/>
    <col min="1054" max="1055" width="8.7109375" style="47" customWidth="1"/>
    <col min="1056" max="1056" width="9.140625" style="47" customWidth="1"/>
    <col min="1057" max="1059" width="5.5703125" style="47" customWidth="1"/>
    <col min="1060" max="1280" width="9.140625" style="47"/>
    <col min="1281" max="1289" width="0" style="47" hidden="1" customWidth="1"/>
    <col min="1290" max="1290" width="29.7109375" style="47" customWidth="1"/>
    <col min="1291" max="1291" width="8" style="47" customWidth="1"/>
    <col min="1292" max="1292" width="11.42578125" style="47" customWidth="1"/>
    <col min="1293" max="1293" width="0" style="47" hidden="1" customWidth="1"/>
    <col min="1294" max="1294" width="4.28515625" style="47" customWidth="1"/>
    <col min="1295" max="1295" width="0.140625" style="47" customWidth="1"/>
    <col min="1296" max="1302" width="0" style="47" hidden="1" customWidth="1"/>
    <col min="1303" max="1303" width="10.85546875" style="47" customWidth="1"/>
    <col min="1304" max="1304" width="9.85546875" style="47" customWidth="1"/>
    <col min="1305" max="1305" width="10.28515625" style="47" customWidth="1"/>
    <col min="1306" max="1306" width="10" style="47" customWidth="1"/>
    <col min="1307" max="1307" width="10.140625" style="47" customWidth="1"/>
    <col min="1308" max="1308" width="9.7109375" style="47" customWidth="1"/>
    <col min="1309" max="1309" width="10.140625" style="47" customWidth="1"/>
    <col min="1310" max="1311" width="8.7109375" style="47" customWidth="1"/>
    <col min="1312" max="1312" width="9.140625" style="47" customWidth="1"/>
    <col min="1313" max="1315" width="5.5703125" style="47" customWidth="1"/>
    <col min="1316" max="1536" width="9.140625" style="47"/>
    <col min="1537" max="1545" width="0" style="47" hidden="1" customWidth="1"/>
    <col min="1546" max="1546" width="29.7109375" style="47" customWidth="1"/>
    <col min="1547" max="1547" width="8" style="47" customWidth="1"/>
    <col min="1548" max="1548" width="11.42578125" style="47" customWidth="1"/>
    <col min="1549" max="1549" width="0" style="47" hidden="1" customWidth="1"/>
    <col min="1550" max="1550" width="4.28515625" style="47" customWidth="1"/>
    <col min="1551" max="1551" width="0.140625" style="47" customWidth="1"/>
    <col min="1552" max="1558" width="0" style="47" hidden="1" customWidth="1"/>
    <col min="1559" max="1559" width="10.85546875" style="47" customWidth="1"/>
    <col min="1560" max="1560" width="9.85546875" style="47" customWidth="1"/>
    <col min="1561" max="1561" width="10.28515625" style="47" customWidth="1"/>
    <col min="1562" max="1562" width="10" style="47" customWidth="1"/>
    <col min="1563" max="1563" width="10.140625" style="47" customWidth="1"/>
    <col min="1564" max="1564" width="9.7109375" style="47" customWidth="1"/>
    <col min="1565" max="1565" width="10.140625" style="47" customWidth="1"/>
    <col min="1566" max="1567" width="8.7109375" style="47" customWidth="1"/>
    <col min="1568" max="1568" width="9.140625" style="47" customWidth="1"/>
    <col min="1569" max="1571" width="5.5703125" style="47" customWidth="1"/>
    <col min="1572" max="1792" width="9.140625" style="47"/>
    <col min="1793" max="1801" width="0" style="47" hidden="1" customWidth="1"/>
    <col min="1802" max="1802" width="29.7109375" style="47" customWidth="1"/>
    <col min="1803" max="1803" width="8" style="47" customWidth="1"/>
    <col min="1804" max="1804" width="11.42578125" style="47" customWidth="1"/>
    <col min="1805" max="1805" width="0" style="47" hidden="1" customWidth="1"/>
    <col min="1806" max="1806" width="4.28515625" style="47" customWidth="1"/>
    <col min="1807" max="1807" width="0.140625" style="47" customWidth="1"/>
    <col min="1808" max="1814" width="0" style="47" hidden="1" customWidth="1"/>
    <col min="1815" max="1815" width="10.85546875" style="47" customWidth="1"/>
    <col min="1816" max="1816" width="9.85546875" style="47" customWidth="1"/>
    <col min="1817" max="1817" width="10.28515625" style="47" customWidth="1"/>
    <col min="1818" max="1818" width="10" style="47" customWidth="1"/>
    <col min="1819" max="1819" width="10.140625" style="47" customWidth="1"/>
    <col min="1820" max="1820" width="9.7109375" style="47" customWidth="1"/>
    <col min="1821" max="1821" width="10.140625" style="47" customWidth="1"/>
    <col min="1822" max="1823" width="8.7109375" style="47" customWidth="1"/>
    <col min="1824" max="1824" width="9.140625" style="47" customWidth="1"/>
    <col min="1825" max="1827" width="5.5703125" style="47" customWidth="1"/>
    <col min="1828" max="2048" width="9.140625" style="47"/>
    <col min="2049" max="2057" width="0" style="47" hidden="1" customWidth="1"/>
    <col min="2058" max="2058" width="29.7109375" style="47" customWidth="1"/>
    <col min="2059" max="2059" width="8" style="47" customWidth="1"/>
    <col min="2060" max="2060" width="11.42578125" style="47" customWidth="1"/>
    <col min="2061" max="2061" width="0" style="47" hidden="1" customWidth="1"/>
    <col min="2062" max="2062" width="4.28515625" style="47" customWidth="1"/>
    <col min="2063" max="2063" width="0.140625" style="47" customWidth="1"/>
    <col min="2064" max="2070" width="0" style="47" hidden="1" customWidth="1"/>
    <col min="2071" max="2071" width="10.85546875" style="47" customWidth="1"/>
    <col min="2072" max="2072" width="9.85546875" style="47" customWidth="1"/>
    <col min="2073" max="2073" width="10.28515625" style="47" customWidth="1"/>
    <col min="2074" max="2074" width="10" style="47" customWidth="1"/>
    <col min="2075" max="2075" width="10.140625" style="47" customWidth="1"/>
    <col min="2076" max="2076" width="9.7109375" style="47" customWidth="1"/>
    <col min="2077" max="2077" width="10.140625" style="47" customWidth="1"/>
    <col min="2078" max="2079" width="8.7109375" style="47" customWidth="1"/>
    <col min="2080" max="2080" width="9.140625" style="47" customWidth="1"/>
    <col min="2081" max="2083" width="5.5703125" style="47" customWidth="1"/>
    <col min="2084" max="2304" width="9.140625" style="47"/>
    <col min="2305" max="2313" width="0" style="47" hidden="1" customWidth="1"/>
    <col min="2314" max="2314" width="29.7109375" style="47" customWidth="1"/>
    <col min="2315" max="2315" width="8" style="47" customWidth="1"/>
    <col min="2316" max="2316" width="11.42578125" style="47" customWidth="1"/>
    <col min="2317" max="2317" width="0" style="47" hidden="1" customWidth="1"/>
    <col min="2318" max="2318" width="4.28515625" style="47" customWidth="1"/>
    <col min="2319" max="2319" width="0.140625" style="47" customWidth="1"/>
    <col min="2320" max="2326" width="0" style="47" hidden="1" customWidth="1"/>
    <col min="2327" max="2327" width="10.85546875" style="47" customWidth="1"/>
    <col min="2328" max="2328" width="9.85546875" style="47" customWidth="1"/>
    <col min="2329" max="2329" width="10.28515625" style="47" customWidth="1"/>
    <col min="2330" max="2330" width="10" style="47" customWidth="1"/>
    <col min="2331" max="2331" width="10.140625" style="47" customWidth="1"/>
    <col min="2332" max="2332" width="9.7109375" style="47" customWidth="1"/>
    <col min="2333" max="2333" width="10.140625" style="47" customWidth="1"/>
    <col min="2334" max="2335" width="8.7109375" style="47" customWidth="1"/>
    <col min="2336" max="2336" width="9.140625" style="47" customWidth="1"/>
    <col min="2337" max="2339" width="5.5703125" style="47" customWidth="1"/>
    <col min="2340" max="2560" width="9.140625" style="47"/>
    <col min="2561" max="2569" width="0" style="47" hidden="1" customWidth="1"/>
    <col min="2570" max="2570" width="29.7109375" style="47" customWidth="1"/>
    <col min="2571" max="2571" width="8" style="47" customWidth="1"/>
    <col min="2572" max="2572" width="11.42578125" style="47" customWidth="1"/>
    <col min="2573" max="2573" width="0" style="47" hidden="1" customWidth="1"/>
    <col min="2574" max="2574" width="4.28515625" style="47" customWidth="1"/>
    <col min="2575" max="2575" width="0.140625" style="47" customWidth="1"/>
    <col min="2576" max="2582" width="0" style="47" hidden="1" customWidth="1"/>
    <col min="2583" max="2583" width="10.85546875" style="47" customWidth="1"/>
    <col min="2584" max="2584" width="9.85546875" style="47" customWidth="1"/>
    <col min="2585" max="2585" width="10.28515625" style="47" customWidth="1"/>
    <col min="2586" max="2586" width="10" style="47" customWidth="1"/>
    <col min="2587" max="2587" width="10.140625" style="47" customWidth="1"/>
    <col min="2588" max="2588" width="9.7109375" style="47" customWidth="1"/>
    <col min="2589" max="2589" width="10.140625" style="47" customWidth="1"/>
    <col min="2590" max="2591" width="8.7109375" style="47" customWidth="1"/>
    <col min="2592" max="2592" width="9.140625" style="47" customWidth="1"/>
    <col min="2593" max="2595" width="5.5703125" style="47" customWidth="1"/>
    <col min="2596" max="2816" width="9.140625" style="47"/>
    <col min="2817" max="2825" width="0" style="47" hidden="1" customWidth="1"/>
    <col min="2826" max="2826" width="29.7109375" style="47" customWidth="1"/>
    <col min="2827" max="2827" width="8" style="47" customWidth="1"/>
    <col min="2828" max="2828" width="11.42578125" style="47" customWidth="1"/>
    <col min="2829" max="2829" width="0" style="47" hidden="1" customWidth="1"/>
    <col min="2830" max="2830" width="4.28515625" style="47" customWidth="1"/>
    <col min="2831" max="2831" width="0.140625" style="47" customWidth="1"/>
    <col min="2832" max="2838" width="0" style="47" hidden="1" customWidth="1"/>
    <col min="2839" max="2839" width="10.85546875" style="47" customWidth="1"/>
    <col min="2840" max="2840" width="9.85546875" style="47" customWidth="1"/>
    <col min="2841" max="2841" width="10.28515625" style="47" customWidth="1"/>
    <col min="2842" max="2842" width="10" style="47" customWidth="1"/>
    <col min="2843" max="2843" width="10.140625" style="47" customWidth="1"/>
    <col min="2844" max="2844" width="9.7109375" style="47" customWidth="1"/>
    <col min="2845" max="2845" width="10.140625" style="47" customWidth="1"/>
    <col min="2846" max="2847" width="8.7109375" style="47" customWidth="1"/>
    <col min="2848" max="2848" width="9.140625" style="47" customWidth="1"/>
    <col min="2849" max="2851" width="5.5703125" style="47" customWidth="1"/>
    <col min="2852" max="3072" width="9.140625" style="47"/>
    <col min="3073" max="3081" width="0" style="47" hidden="1" customWidth="1"/>
    <col min="3082" max="3082" width="29.7109375" style="47" customWidth="1"/>
    <col min="3083" max="3083" width="8" style="47" customWidth="1"/>
    <col min="3084" max="3084" width="11.42578125" style="47" customWidth="1"/>
    <col min="3085" max="3085" width="0" style="47" hidden="1" customWidth="1"/>
    <col min="3086" max="3086" width="4.28515625" style="47" customWidth="1"/>
    <col min="3087" max="3087" width="0.140625" style="47" customWidth="1"/>
    <col min="3088" max="3094" width="0" style="47" hidden="1" customWidth="1"/>
    <col min="3095" max="3095" width="10.85546875" style="47" customWidth="1"/>
    <col min="3096" max="3096" width="9.85546875" style="47" customWidth="1"/>
    <col min="3097" max="3097" width="10.28515625" style="47" customWidth="1"/>
    <col min="3098" max="3098" width="10" style="47" customWidth="1"/>
    <col min="3099" max="3099" width="10.140625" style="47" customWidth="1"/>
    <col min="3100" max="3100" width="9.7109375" style="47" customWidth="1"/>
    <col min="3101" max="3101" width="10.140625" style="47" customWidth="1"/>
    <col min="3102" max="3103" width="8.7109375" style="47" customWidth="1"/>
    <col min="3104" max="3104" width="9.140625" style="47" customWidth="1"/>
    <col min="3105" max="3107" width="5.5703125" style="47" customWidth="1"/>
    <col min="3108" max="3328" width="9.140625" style="47"/>
    <col min="3329" max="3337" width="0" style="47" hidden="1" customWidth="1"/>
    <col min="3338" max="3338" width="29.7109375" style="47" customWidth="1"/>
    <col min="3339" max="3339" width="8" style="47" customWidth="1"/>
    <col min="3340" max="3340" width="11.42578125" style="47" customWidth="1"/>
    <col min="3341" max="3341" width="0" style="47" hidden="1" customWidth="1"/>
    <col min="3342" max="3342" width="4.28515625" style="47" customWidth="1"/>
    <col min="3343" max="3343" width="0.140625" style="47" customWidth="1"/>
    <col min="3344" max="3350" width="0" style="47" hidden="1" customWidth="1"/>
    <col min="3351" max="3351" width="10.85546875" style="47" customWidth="1"/>
    <col min="3352" max="3352" width="9.85546875" style="47" customWidth="1"/>
    <col min="3353" max="3353" width="10.28515625" style="47" customWidth="1"/>
    <col min="3354" max="3354" width="10" style="47" customWidth="1"/>
    <col min="3355" max="3355" width="10.140625" style="47" customWidth="1"/>
    <col min="3356" max="3356" width="9.7109375" style="47" customWidth="1"/>
    <col min="3357" max="3357" width="10.140625" style="47" customWidth="1"/>
    <col min="3358" max="3359" width="8.7109375" style="47" customWidth="1"/>
    <col min="3360" max="3360" width="9.140625" style="47" customWidth="1"/>
    <col min="3361" max="3363" width="5.5703125" style="47" customWidth="1"/>
    <col min="3364" max="3584" width="9.140625" style="47"/>
    <col min="3585" max="3593" width="0" style="47" hidden="1" customWidth="1"/>
    <col min="3594" max="3594" width="29.7109375" style="47" customWidth="1"/>
    <col min="3595" max="3595" width="8" style="47" customWidth="1"/>
    <col min="3596" max="3596" width="11.42578125" style="47" customWidth="1"/>
    <col min="3597" max="3597" width="0" style="47" hidden="1" customWidth="1"/>
    <col min="3598" max="3598" width="4.28515625" style="47" customWidth="1"/>
    <col min="3599" max="3599" width="0.140625" style="47" customWidth="1"/>
    <col min="3600" max="3606" width="0" style="47" hidden="1" customWidth="1"/>
    <col min="3607" max="3607" width="10.85546875" style="47" customWidth="1"/>
    <col min="3608" max="3608" width="9.85546875" style="47" customWidth="1"/>
    <col min="3609" max="3609" width="10.28515625" style="47" customWidth="1"/>
    <col min="3610" max="3610" width="10" style="47" customWidth="1"/>
    <col min="3611" max="3611" width="10.140625" style="47" customWidth="1"/>
    <col min="3612" max="3612" width="9.7109375" style="47" customWidth="1"/>
    <col min="3613" max="3613" width="10.140625" style="47" customWidth="1"/>
    <col min="3614" max="3615" width="8.7109375" style="47" customWidth="1"/>
    <col min="3616" max="3616" width="9.140625" style="47" customWidth="1"/>
    <col min="3617" max="3619" width="5.5703125" style="47" customWidth="1"/>
    <col min="3620" max="3840" width="9.140625" style="47"/>
    <col min="3841" max="3849" width="0" style="47" hidden="1" customWidth="1"/>
    <col min="3850" max="3850" width="29.7109375" style="47" customWidth="1"/>
    <col min="3851" max="3851" width="8" style="47" customWidth="1"/>
    <col min="3852" max="3852" width="11.42578125" style="47" customWidth="1"/>
    <col min="3853" max="3853" width="0" style="47" hidden="1" customWidth="1"/>
    <col min="3854" max="3854" width="4.28515625" style="47" customWidth="1"/>
    <col min="3855" max="3855" width="0.140625" style="47" customWidth="1"/>
    <col min="3856" max="3862" width="0" style="47" hidden="1" customWidth="1"/>
    <col min="3863" max="3863" width="10.85546875" style="47" customWidth="1"/>
    <col min="3864" max="3864" width="9.85546875" style="47" customWidth="1"/>
    <col min="3865" max="3865" width="10.28515625" style="47" customWidth="1"/>
    <col min="3866" max="3866" width="10" style="47" customWidth="1"/>
    <col min="3867" max="3867" width="10.140625" style="47" customWidth="1"/>
    <col min="3868" max="3868" width="9.7109375" style="47" customWidth="1"/>
    <col min="3869" max="3869" width="10.140625" style="47" customWidth="1"/>
    <col min="3870" max="3871" width="8.7109375" style="47" customWidth="1"/>
    <col min="3872" max="3872" width="9.140625" style="47" customWidth="1"/>
    <col min="3873" max="3875" width="5.5703125" style="47" customWidth="1"/>
    <col min="3876" max="4096" width="9.140625" style="47"/>
    <col min="4097" max="4105" width="0" style="47" hidden="1" customWidth="1"/>
    <col min="4106" max="4106" width="29.7109375" style="47" customWidth="1"/>
    <col min="4107" max="4107" width="8" style="47" customWidth="1"/>
    <col min="4108" max="4108" width="11.42578125" style="47" customWidth="1"/>
    <col min="4109" max="4109" width="0" style="47" hidden="1" customWidth="1"/>
    <col min="4110" max="4110" width="4.28515625" style="47" customWidth="1"/>
    <col min="4111" max="4111" width="0.140625" style="47" customWidth="1"/>
    <col min="4112" max="4118" width="0" style="47" hidden="1" customWidth="1"/>
    <col min="4119" max="4119" width="10.85546875" style="47" customWidth="1"/>
    <col min="4120" max="4120" width="9.85546875" style="47" customWidth="1"/>
    <col min="4121" max="4121" width="10.28515625" style="47" customWidth="1"/>
    <col min="4122" max="4122" width="10" style="47" customWidth="1"/>
    <col min="4123" max="4123" width="10.140625" style="47" customWidth="1"/>
    <col min="4124" max="4124" width="9.7109375" style="47" customWidth="1"/>
    <col min="4125" max="4125" width="10.140625" style="47" customWidth="1"/>
    <col min="4126" max="4127" width="8.7109375" style="47" customWidth="1"/>
    <col min="4128" max="4128" width="9.140625" style="47" customWidth="1"/>
    <col min="4129" max="4131" width="5.5703125" style="47" customWidth="1"/>
    <col min="4132" max="4352" width="9.140625" style="47"/>
    <col min="4353" max="4361" width="0" style="47" hidden="1" customWidth="1"/>
    <col min="4362" max="4362" width="29.7109375" style="47" customWidth="1"/>
    <col min="4363" max="4363" width="8" style="47" customWidth="1"/>
    <col min="4364" max="4364" width="11.42578125" style="47" customWidth="1"/>
    <col min="4365" max="4365" width="0" style="47" hidden="1" customWidth="1"/>
    <col min="4366" max="4366" width="4.28515625" style="47" customWidth="1"/>
    <col min="4367" max="4367" width="0.140625" style="47" customWidth="1"/>
    <col min="4368" max="4374" width="0" style="47" hidden="1" customWidth="1"/>
    <col min="4375" max="4375" width="10.85546875" style="47" customWidth="1"/>
    <col min="4376" max="4376" width="9.85546875" style="47" customWidth="1"/>
    <col min="4377" max="4377" width="10.28515625" style="47" customWidth="1"/>
    <col min="4378" max="4378" width="10" style="47" customWidth="1"/>
    <col min="4379" max="4379" width="10.140625" style="47" customWidth="1"/>
    <col min="4380" max="4380" width="9.7109375" style="47" customWidth="1"/>
    <col min="4381" max="4381" width="10.140625" style="47" customWidth="1"/>
    <col min="4382" max="4383" width="8.7109375" style="47" customWidth="1"/>
    <col min="4384" max="4384" width="9.140625" style="47" customWidth="1"/>
    <col min="4385" max="4387" width="5.5703125" style="47" customWidth="1"/>
    <col min="4388" max="4608" width="9.140625" style="47"/>
    <col min="4609" max="4617" width="0" style="47" hidden="1" customWidth="1"/>
    <col min="4618" max="4618" width="29.7109375" style="47" customWidth="1"/>
    <col min="4619" max="4619" width="8" style="47" customWidth="1"/>
    <col min="4620" max="4620" width="11.42578125" style="47" customWidth="1"/>
    <col min="4621" max="4621" width="0" style="47" hidden="1" customWidth="1"/>
    <col min="4622" max="4622" width="4.28515625" style="47" customWidth="1"/>
    <col min="4623" max="4623" width="0.140625" style="47" customWidth="1"/>
    <col min="4624" max="4630" width="0" style="47" hidden="1" customWidth="1"/>
    <col min="4631" max="4631" width="10.85546875" style="47" customWidth="1"/>
    <col min="4632" max="4632" width="9.85546875" style="47" customWidth="1"/>
    <col min="4633" max="4633" width="10.28515625" style="47" customWidth="1"/>
    <col min="4634" max="4634" width="10" style="47" customWidth="1"/>
    <col min="4635" max="4635" width="10.140625" style="47" customWidth="1"/>
    <col min="4636" max="4636" width="9.7109375" style="47" customWidth="1"/>
    <col min="4637" max="4637" width="10.140625" style="47" customWidth="1"/>
    <col min="4638" max="4639" width="8.7109375" style="47" customWidth="1"/>
    <col min="4640" max="4640" width="9.140625" style="47" customWidth="1"/>
    <col min="4641" max="4643" width="5.5703125" style="47" customWidth="1"/>
    <col min="4644" max="4864" width="9.140625" style="47"/>
    <col min="4865" max="4873" width="0" style="47" hidden="1" customWidth="1"/>
    <col min="4874" max="4874" width="29.7109375" style="47" customWidth="1"/>
    <col min="4875" max="4875" width="8" style="47" customWidth="1"/>
    <col min="4876" max="4876" width="11.42578125" style="47" customWidth="1"/>
    <col min="4877" max="4877" width="0" style="47" hidden="1" customWidth="1"/>
    <col min="4878" max="4878" width="4.28515625" style="47" customWidth="1"/>
    <col min="4879" max="4879" width="0.140625" style="47" customWidth="1"/>
    <col min="4880" max="4886" width="0" style="47" hidden="1" customWidth="1"/>
    <col min="4887" max="4887" width="10.85546875" style="47" customWidth="1"/>
    <col min="4888" max="4888" width="9.85546875" style="47" customWidth="1"/>
    <col min="4889" max="4889" width="10.28515625" style="47" customWidth="1"/>
    <col min="4890" max="4890" width="10" style="47" customWidth="1"/>
    <col min="4891" max="4891" width="10.140625" style="47" customWidth="1"/>
    <col min="4892" max="4892" width="9.7109375" style="47" customWidth="1"/>
    <col min="4893" max="4893" width="10.140625" style="47" customWidth="1"/>
    <col min="4894" max="4895" width="8.7109375" style="47" customWidth="1"/>
    <col min="4896" max="4896" width="9.140625" style="47" customWidth="1"/>
    <col min="4897" max="4899" width="5.5703125" style="47" customWidth="1"/>
    <col min="4900" max="5120" width="9.140625" style="47"/>
    <col min="5121" max="5129" width="0" style="47" hidden="1" customWidth="1"/>
    <col min="5130" max="5130" width="29.7109375" style="47" customWidth="1"/>
    <col min="5131" max="5131" width="8" style="47" customWidth="1"/>
    <col min="5132" max="5132" width="11.42578125" style="47" customWidth="1"/>
    <col min="5133" max="5133" width="0" style="47" hidden="1" customWidth="1"/>
    <col min="5134" max="5134" width="4.28515625" style="47" customWidth="1"/>
    <col min="5135" max="5135" width="0.140625" style="47" customWidth="1"/>
    <col min="5136" max="5142" width="0" style="47" hidden="1" customWidth="1"/>
    <col min="5143" max="5143" width="10.85546875" style="47" customWidth="1"/>
    <col min="5144" max="5144" width="9.85546875" style="47" customWidth="1"/>
    <col min="5145" max="5145" width="10.28515625" style="47" customWidth="1"/>
    <col min="5146" max="5146" width="10" style="47" customWidth="1"/>
    <col min="5147" max="5147" width="10.140625" style="47" customWidth="1"/>
    <col min="5148" max="5148" width="9.7109375" style="47" customWidth="1"/>
    <col min="5149" max="5149" width="10.140625" style="47" customWidth="1"/>
    <col min="5150" max="5151" width="8.7109375" style="47" customWidth="1"/>
    <col min="5152" max="5152" width="9.140625" style="47" customWidth="1"/>
    <col min="5153" max="5155" width="5.5703125" style="47" customWidth="1"/>
    <col min="5156" max="5376" width="9.140625" style="47"/>
    <col min="5377" max="5385" width="0" style="47" hidden="1" customWidth="1"/>
    <col min="5386" max="5386" width="29.7109375" style="47" customWidth="1"/>
    <col min="5387" max="5387" width="8" style="47" customWidth="1"/>
    <col min="5388" max="5388" width="11.42578125" style="47" customWidth="1"/>
    <col min="5389" max="5389" width="0" style="47" hidden="1" customWidth="1"/>
    <col min="5390" max="5390" width="4.28515625" style="47" customWidth="1"/>
    <col min="5391" max="5391" width="0.140625" style="47" customWidth="1"/>
    <col min="5392" max="5398" width="0" style="47" hidden="1" customWidth="1"/>
    <col min="5399" max="5399" width="10.85546875" style="47" customWidth="1"/>
    <col min="5400" max="5400" width="9.85546875" style="47" customWidth="1"/>
    <col min="5401" max="5401" width="10.28515625" style="47" customWidth="1"/>
    <col min="5402" max="5402" width="10" style="47" customWidth="1"/>
    <col min="5403" max="5403" width="10.140625" style="47" customWidth="1"/>
    <col min="5404" max="5404" width="9.7109375" style="47" customWidth="1"/>
    <col min="5405" max="5405" width="10.140625" style="47" customWidth="1"/>
    <col min="5406" max="5407" width="8.7109375" style="47" customWidth="1"/>
    <col min="5408" max="5408" width="9.140625" style="47" customWidth="1"/>
    <col min="5409" max="5411" width="5.5703125" style="47" customWidth="1"/>
    <col min="5412" max="5632" width="9.140625" style="47"/>
    <col min="5633" max="5641" width="0" style="47" hidden="1" customWidth="1"/>
    <col min="5642" max="5642" width="29.7109375" style="47" customWidth="1"/>
    <col min="5643" max="5643" width="8" style="47" customWidth="1"/>
    <col min="5644" max="5644" width="11.42578125" style="47" customWidth="1"/>
    <col min="5645" max="5645" width="0" style="47" hidden="1" customWidth="1"/>
    <col min="5646" max="5646" width="4.28515625" style="47" customWidth="1"/>
    <col min="5647" max="5647" width="0.140625" style="47" customWidth="1"/>
    <col min="5648" max="5654" width="0" style="47" hidden="1" customWidth="1"/>
    <col min="5655" max="5655" width="10.85546875" style="47" customWidth="1"/>
    <col min="5656" max="5656" width="9.85546875" style="47" customWidth="1"/>
    <col min="5657" max="5657" width="10.28515625" style="47" customWidth="1"/>
    <col min="5658" max="5658" width="10" style="47" customWidth="1"/>
    <col min="5659" max="5659" width="10.140625" style="47" customWidth="1"/>
    <col min="5660" max="5660" width="9.7109375" style="47" customWidth="1"/>
    <col min="5661" max="5661" width="10.140625" style="47" customWidth="1"/>
    <col min="5662" max="5663" width="8.7109375" style="47" customWidth="1"/>
    <col min="5664" max="5664" width="9.140625" style="47" customWidth="1"/>
    <col min="5665" max="5667" width="5.5703125" style="47" customWidth="1"/>
    <col min="5668" max="5888" width="9.140625" style="47"/>
    <col min="5889" max="5897" width="0" style="47" hidden="1" customWidth="1"/>
    <col min="5898" max="5898" width="29.7109375" style="47" customWidth="1"/>
    <col min="5899" max="5899" width="8" style="47" customWidth="1"/>
    <col min="5900" max="5900" width="11.42578125" style="47" customWidth="1"/>
    <col min="5901" max="5901" width="0" style="47" hidden="1" customWidth="1"/>
    <col min="5902" max="5902" width="4.28515625" style="47" customWidth="1"/>
    <col min="5903" max="5903" width="0.140625" style="47" customWidth="1"/>
    <col min="5904" max="5910" width="0" style="47" hidden="1" customWidth="1"/>
    <col min="5911" max="5911" width="10.85546875" style="47" customWidth="1"/>
    <col min="5912" max="5912" width="9.85546875" style="47" customWidth="1"/>
    <col min="5913" max="5913" width="10.28515625" style="47" customWidth="1"/>
    <col min="5914" max="5914" width="10" style="47" customWidth="1"/>
    <col min="5915" max="5915" width="10.140625" style="47" customWidth="1"/>
    <col min="5916" max="5916" width="9.7109375" style="47" customWidth="1"/>
    <col min="5917" max="5917" width="10.140625" style="47" customWidth="1"/>
    <col min="5918" max="5919" width="8.7109375" style="47" customWidth="1"/>
    <col min="5920" max="5920" width="9.140625" style="47" customWidth="1"/>
    <col min="5921" max="5923" width="5.5703125" style="47" customWidth="1"/>
    <col min="5924" max="6144" width="9.140625" style="47"/>
    <col min="6145" max="6153" width="0" style="47" hidden="1" customWidth="1"/>
    <col min="6154" max="6154" width="29.7109375" style="47" customWidth="1"/>
    <col min="6155" max="6155" width="8" style="47" customWidth="1"/>
    <col min="6156" max="6156" width="11.42578125" style="47" customWidth="1"/>
    <col min="6157" max="6157" width="0" style="47" hidden="1" customWidth="1"/>
    <col min="6158" max="6158" width="4.28515625" style="47" customWidth="1"/>
    <col min="6159" max="6159" width="0.140625" style="47" customWidth="1"/>
    <col min="6160" max="6166" width="0" style="47" hidden="1" customWidth="1"/>
    <col min="6167" max="6167" width="10.85546875" style="47" customWidth="1"/>
    <col min="6168" max="6168" width="9.85546875" style="47" customWidth="1"/>
    <col min="6169" max="6169" width="10.28515625" style="47" customWidth="1"/>
    <col min="6170" max="6170" width="10" style="47" customWidth="1"/>
    <col min="6171" max="6171" width="10.140625" style="47" customWidth="1"/>
    <col min="6172" max="6172" width="9.7109375" style="47" customWidth="1"/>
    <col min="6173" max="6173" width="10.140625" style="47" customWidth="1"/>
    <col min="6174" max="6175" width="8.7109375" style="47" customWidth="1"/>
    <col min="6176" max="6176" width="9.140625" style="47" customWidth="1"/>
    <col min="6177" max="6179" width="5.5703125" style="47" customWidth="1"/>
    <col min="6180" max="6400" width="9.140625" style="47"/>
    <col min="6401" max="6409" width="0" style="47" hidden="1" customWidth="1"/>
    <col min="6410" max="6410" width="29.7109375" style="47" customWidth="1"/>
    <col min="6411" max="6411" width="8" style="47" customWidth="1"/>
    <col min="6412" max="6412" width="11.42578125" style="47" customWidth="1"/>
    <col min="6413" max="6413" width="0" style="47" hidden="1" customWidth="1"/>
    <col min="6414" max="6414" width="4.28515625" style="47" customWidth="1"/>
    <col min="6415" max="6415" width="0.140625" style="47" customWidth="1"/>
    <col min="6416" max="6422" width="0" style="47" hidden="1" customWidth="1"/>
    <col min="6423" max="6423" width="10.85546875" style="47" customWidth="1"/>
    <col min="6424" max="6424" width="9.85546875" style="47" customWidth="1"/>
    <col min="6425" max="6425" width="10.28515625" style="47" customWidth="1"/>
    <col min="6426" max="6426" width="10" style="47" customWidth="1"/>
    <col min="6427" max="6427" width="10.140625" style="47" customWidth="1"/>
    <col min="6428" max="6428" width="9.7109375" style="47" customWidth="1"/>
    <col min="6429" max="6429" width="10.140625" style="47" customWidth="1"/>
    <col min="6430" max="6431" width="8.7109375" style="47" customWidth="1"/>
    <col min="6432" max="6432" width="9.140625" style="47" customWidth="1"/>
    <col min="6433" max="6435" width="5.5703125" style="47" customWidth="1"/>
    <col min="6436" max="6656" width="9.140625" style="47"/>
    <col min="6657" max="6665" width="0" style="47" hidden="1" customWidth="1"/>
    <col min="6666" max="6666" width="29.7109375" style="47" customWidth="1"/>
    <col min="6667" max="6667" width="8" style="47" customWidth="1"/>
    <col min="6668" max="6668" width="11.42578125" style="47" customWidth="1"/>
    <col min="6669" max="6669" width="0" style="47" hidden="1" customWidth="1"/>
    <col min="6670" max="6670" width="4.28515625" style="47" customWidth="1"/>
    <col min="6671" max="6671" width="0.140625" style="47" customWidth="1"/>
    <col min="6672" max="6678" width="0" style="47" hidden="1" customWidth="1"/>
    <col min="6679" max="6679" width="10.85546875" style="47" customWidth="1"/>
    <col min="6680" max="6680" width="9.85546875" style="47" customWidth="1"/>
    <col min="6681" max="6681" width="10.28515625" style="47" customWidth="1"/>
    <col min="6682" max="6682" width="10" style="47" customWidth="1"/>
    <col min="6683" max="6683" width="10.140625" style="47" customWidth="1"/>
    <col min="6684" max="6684" width="9.7109375" style="47" customWidth="1"/>
    <col min="6685" max="6685" width="10.140625" style="47" customWidth="1"/>
    <col min="6686" max="6687" width="8.7109375" style="47" customWidth="1"/>
    <col min="6688" max="6688" width="9.140625" style="47" customWidth="1"/>
    <col min="6689" max="6691" width="5.5703125" style="47" customWidth="1"/>
    <col min="6692" max="6912" width="9.140625" style="47"/>
    <col min="6913" max="6921" width="0" style="47" hidden="1" customWidth="1"/>
    <col min="6922" max="6922" width="29.7109375" style="47" customWidth="1"/>
    <col min="6923" max="6923" width="8" style="47" customWidth="1"/>
    <col min="6924" max="6924" width="11.42578125" style="47" customWidth="1"/>
    <col min="6925" max="6925" width="0" style="47" hidden="1" customWidth="1"/>
    <col min="6926" max="6926" width="4.28515625" style="47" customWidth="1"/>
    <col min="6927" max="6927" width="0.140625" style="47" customWidth="1"/>
    <col min="6928" max="6934" width="0" style="47" hidden="1" customWidth="1"/>
    <col min="6935" max="6935" width="10.85546875" style="47" customWidth="1"/>
    <col min="6936" max="6936" width="9.85546875" style="47" customWidth="1"/>
    <col min="6937" max="6937" width="10.28515625" style="47" customWidth="1"/>
    <col min="6938" max="6938" width="10" style="47" customWidth="1"/>
    <col min="6939" max="6939" width="10.140625" style="47" customWidth="1"/>
    <col min="6940" max="6940" width="9.7109375" style="47" customWidth="1"/>
    <col min="6941" max="6941" width="10.140625" style="47" customWidth="1"/>
    <col min="6942" max="6943" width="8.7109375" style="47" customWidth="1"/>
    <col min="6944" max="6944" width="9.140625" style="47" customWidth="1"/>
    <col min="6945" max="6947" width="5.5703125" style="47" customWidth="1"/>
    <col min="6948" max="7168" width="9.140625" style="47"/>
    <col min="7169" max="7177" width="0" style="47" hidden="1" customWidth="1"/>
    <col min="7178" max="7178" width="29.7109375" style="47" customWidth="1"/>
    <col min="7179" max="7179" width="8" style="47" customWidth="1"/>
    <col min="7180" max="7180" width="11.42578125" style="47" customWidth="1"/>
    <col min="7181" max="7181" width="0" style="47" hidden="1" customWidth="1"/>
    <col min="7182" max="7182" width="4.28515625" style="47" customWidth="1"/>
    <col min="7183" max="7183" width="0.140625" style="47" customWidth="1"/>
    <col min="7184" max="7190" width="0" style="47" hidden="1" customWidth="1"/>
    <col min="7191" max="7191" width="10.85546875" style="47" customWidth="1"/>
    <col min="7192" max="7192" width="9.85546875" style="47" customWidth="1"/>
    <col min="7193" max="7193" width="10.28515625" style="47" customWidth="1"/>
    <col min="7194" max="7194" width="10" style="47" customWidth="1"/>
    <col min="7195" max="7195" width="10.140625" style="47" customWidth="1"/>
    <col min="7196" max="7196" width="9.7109375" style="47" customWidth="1"/>
    <col min="7197" max="7197" width="10.140625" style="47" customWidth="1"/>
    <col min="7198" max="7199" width="8.7109375" style="47" customWidth="1"/>
    <col min="7200" max="7200" width="9.140625" style="47" customWidth="1"/>
    <col min="7201" max="7203" width="5.5703125" style="47" customWidth="1"/>
    <col min="7204" max="7424" width="9.140625" style="47"/>
    <col min="7425" max="7433" width="0" style="47" hidden="1" customWidth="1"/>
    <col min="7434" max="7434" width="29.7109375" style="47" customWidth="1"/>
    <col min="7435" max="7435" width="8" style="47" customWidth="1"/>
    <col min="7436" max="7436" width="11.42578125" style="47" customWidth="1"/>
    <col min="7437" max="7437" width="0" style="47" hidden="1" customWidth="1"/>
    <col min="7438" max="7438" width="4.28515625" style="47" customWidth="1"/>
    <col min="7439" max="7439" width="0.140625" style="47" customWidth="1"/>
    <col min="7440" max="7446" width="0" style="47" hidden="1" customWidth="1"/>
    <col min="7447" max="7447" width="10.85546875" style="47" customWidth="1"/>
    <col min="7448" max="7448" width="9.85546875" style="47" customWidth="1"/>
    <col min="7449" max="7449" width="10.28515625" style="47" customWidth="1"/>
    <col min="7450" max="7450" width="10" style="47" customWidth="1"/>
    <col min="7451" max="7451" width="10.140625" style="47" customWidth="1"/>
    <col min="7452" max="7452" width="9.7109375" style="47" customWidth="1"/>
    <col min="7453" max="7453" width="10.140625" style="47" customWidth="1"/>
    <col min="7454" max="7455" width="8.7109375" style="47" customWidth="1"/>
    <col min="7456" max="7456" width="9.140625" style="47" customWidth="1"/>
    <col min="7457" max="7459" width="5.5703125" style="47" customWidth="1"/>
    <col min="7460" max="7680" width="9.140625" style="47"/>
    <col min="7681" max="7689" width="0" style="47" hidden="1" customWidth="1"/>
    <col min="7690" max="7690" width="29.7109375" style="47" customWidth="1"/>
    <col min="7691" max="7691" width="8" style="47" customWidth="1"/>
    <col min="7692" max="7692" width="11.42578125" style="47" customWidth="1"/>
    <col min="7693" max="7693" width="0" style="47" hidden="1" customWidth="1"/>
    <col min="7694" max="7694" width="4.28515625" style="47" customWidth="1"/>
    <col min="7695" max="7695" width="0.140625" style="47" customWidth="1"/>
    <col min="7696" max="7702" width="0" style="47" hidden="1" customWidth="1"/>
    <col min="7703" max="7703" width="10.85546875" style="47" customWidth="1"/>
    <col min="7704" max="7704" width="9.85546875" style="47" customWidth="1"/>
    <col min="7705" max="7705" width="10.28515625" style="47" customWidth="1"/>
    <col min="7706" max="7706" width="10" style="47" customWidth="1"/>
    <col min="7707" max="7707" width="10.140625" style="47" customWidth="1"/>
    <col min="7708" max="7708" width="9.7109375" style="47" customWidth="1"/>
    <col min="7709" max="7709" width="10.140625" style="47" customWidth="1"/>
    <col min="7710" max="7711" width="8.7109375" style="47" customWidth="1"/>
    <col min="7712" max="7712" width="9.140625" style="47" customWidth="1"/>
    <col min="7713" max="7715" width="5.5703125" style="47" customWidth="1"/>
    <col min="7716" max="7936" width="9.140625" style="47"/>
    <col min="7937" max="7945" width="0" style="47" hidden="1" customWidth="1"/>
    <col min="7946" max="7946" width="29.7109375" style="47" customWidth="1"/>
    <col min="7947" max="7947" width="8" style="47" customWidth="1"/>
    <col min="7948" max="7948" width="11.42578125" style="47" customWidth="1"/>
    <col min="7949" max="7949" width="0" style="47" hidden="1" customWidth="1"/>
    <col min="7950" max="7950" width="4.28515625" style="47" customWidth="1"/>
    <col min="7951" max="7951" width="0.140625" style="47" customWidth="1"/>
    <col min="7952" max="7958" width="0" style="47" hidden="1" customWidth="1"/>
    <col min="7959" max="7959" width="10.85546875" style="47" customWidth="1"/>
    <col min="7960" max="7960" width="9.85546875" style="47" customWidth="1"/>
    <col min="7961" max="7961" width="10.28515625" style="47" customWidth="1"/>
    <col min="7962" max="7962" width="10" style="47" customWidth="1"/>
    <col min="7963" max="7963" width="10.140625" style="47" customWidth="1"/>
    <col min="7964" max="7964" width="9.7109375" style="47" customWidth="1"/>
    <col min="7965" max="7965" width="10.140625" style="47" customWidth="1"/>
    <col min="7966" max="7967" width="8.7109375" style="47" customWidth="1"/>
    <col min="7968" max="7968" width="9.140625" style="47" customWidth="1"/>
    <col min="7969" max="7971" width="5.5703125" style="47" customWidth="1"/>
    <col min="7972" max="8192" width="9.140625" style="47"/>
    <col min="8193" max="8201" width="0" style="47" hidden="1" customWidth="1"/>
    <col min="8202" max="8202" width="29.7109375" style="47" customWidth="1"/>
    <col min="8203" max="8203" width="8" style="47" customWidth="1"/>
    <col min="8204" max="8204" width="11.42578125" style="47" customWidth="1"/>
    <col min="8205" max="8205" width="0" style="47" hidden="1" customWidth="1"/>
    <col min="8206" max="8206" width="4.28515625" style="47" customWidth="1"/>
    <col min="8207" max="8207" width="0.140625" style="47" customWidth="1"/>
    <col min="8208" max="8214" width="0" style="47" hidden="1" customWidth="1"/>
    <col min="8215" max="8215" width="10.85546875" style="47" customWidth="1"/>
    <col min="8216" max="8216" width="9.85546875" style="47" customWidth="1"/>
    <col min="8217" max="8217" width="10.28515625" style="47" customWidth="1"/>
    <col min="8218" max="8218" width="10" style="47" customWidth="1"/>
    <col min="8219" max="8219" width="10.140625" style="47" customWidth="1"/>
    <col min="8220" max="8220" width="9.7109375" style="47" customWidth="1"/>
    <col min="8221" max="8221" width="10.140625" style="47" customWidth="1"/>
    <col min="8222" max="8223" width="8.7109375" style="47" customWidth="1"/>
    <col min="8224" max="8224" width="9.140625" style="47" customWidth="1"/>
    <col min="8225" max="8227" width="5.5703125" style="47" customWidth="1"/>
    <col min="8228" max="8448" width="9.140625" style="47"/>
    <col min="8449" max="8457" width="0" style="47" hidden="1" customWidth="1"/>
    <col min="8458" max="8458" width="29.7109375" style="47" customWidth="1"/>
    <col min="8459" max="8459" width="8" style="47" customWidth="1"/>
    <col min="8460" max="8460" width="11.42578125" style="47" customWidth="1"/>
    <col min="8461" max="8461" width="0" style="47" hidden="1" customWidth="1"/>
    <col min="8462" max="8462" width="4.28515625" style="47" customWidth="1"/>
    <col min="8463" max="8463" width="0.140625" style="47" customWidth="1"/>
    <col min="8464" max="8470" width="0" style="47" hidden="1" customWidth="1"/>
    <col min="8471" max="8471" width="10.85546875" style="47" customWidth="1"/>
    <col min="8472" max="8472" width="9.85546875" style="47" customWidth="1"/>
    <col min="8473" max="8473" width="10.28515625" style="47" customWidth="1"/>
    <col min="8474" max="8474" width="10" style="47" customWidth="1"/>
    <col min="8475" max="8475" width="10.140625" style="47" customWidth="1"/>
    <col min="8476" max="8476" width="9.7109375" style="47" customWidth="1"/>
    <col min="8477" max="8477" width="10.140625" style="47" customWidth="1"/>
    <col min="8478" max="8479" width="8.7109375" style="47" customWidth="1"/>
    <col min="8480" max="8480" width="9.140625" style="47" customWidth="1"/>
    <col min="8481" max="8483" width="5.5703125" style="47" customWidth="1"/>
    <col min="8484" max="8704" width="9.140625" style="47"/>
    <col min="8705" max="8713" width="0" style="47" hidden="1" customWidth="1"/>
    <col min="8714" max="8714" width="29.7109375" style="47" customWidth="1"/>
    <col min="8715" max="8715" width="8" style="47" customWidth="1"/>
    <col min="8716" max="8716" width="11.42578125" style="47" customWidth="1"/>
    <col min="8717" max="8717" width="0" style="47" hidden="1" customWidth="1"/>
    <col min="8718" max="8718" width="4.28515625" style="47" customWidth="1"/>
    <col min="8719" max="8719" width="0.140625" style="47" customWidth="1"/>
    <col min="8720" max="8726" width="0" style="47" hidden="1" customWidth="1"/>
    <col min="8727" max="8727" width="10.85546875" style="47" customWidth="1"/>
    <col min="8728" max="8728" width="9.85546875" style="47" customWidth="1"/>
    <col min="8729" max="8729" width="10.28515625" style="47" customWidth="1"/>
    <col min="8730" max="8730" width="10" style="47" customWidth="1"/>
    <col min="8731" max="8731" width="10.140625" style="47" customWidth="1"/>
    <col min="8732" max="8732" width="9.7109375" style="47" customWidth="1"/>
    <col min="8733" max="8733" width="10.140625" style="47" customWidth="1"/>
    <col min="8734" max="8735" width="8.7109375" style="47" customWidth="1"/>
    <col min="8736" max="8736" width="9.140625" style="47" customWidth="1"/>
    <col min="8737" max="8739" width="5.5703125" style="47" customWidth="1"/>
    <col min="8740" max="8960" width="9.140625" style="47"/>
    <col min="8961" max="8969" width="0" style="47" hidden="1" customWidth="1"/>
    <col min="8970" max="8970" width="29.7109375" style="47" customWidth="1"/>
    <col min="8971" max="8971" width="8" style="47" customWidth="1"/>
    <col min="8972" max="8972" width="11.42578125" style="47" customWidth="1"/>
    <col min="8973" max="8973" width="0" style="47" hidden="1" customWidth="1"/>
    <col min="8974" max="8974" width="4.28515625" style="47" customWidth="1"/>
    <col min="8975" max="8975" width="0.140625" style="47" customWidth="1"/>
    <col min="8976" max="8982" width="0" style="47" hidden="1" customWidth="1"/>
    <col min="8983" max="8983" width="10.85546875" style="47" customWidth="1"/>
    <col min="8984" max="8984" width="9.85546875" style="47" customWidth="1"/>
    <col min="8985" max="8985" width="10.28515625" style="47" customWidth="1"/>
    <col min="8986" max="8986" width="10" style="47" customWidth="1"/>
    <col min="8987" max="8987" width="10.140625" style="47" customWidth="1"/>
    <col min="8988" max="8988" width="9.7109375" style="47" customWidth="1"/>
    <col min="8989" max="8989" width="10.140625" style="47" customWidth="1"/>
    <col min="8990" max="8991" width="8.7109375" style="47" customWidth="1"/>
    <col min="8992" max="8992" width="9.140625" style="47" customWidth="1"/>
    <col min="8993" max="8995" width="5.5703125" style="47" customWidth="1"/>
    <col min="8996" max="9216" width="9.140625" style="47"/>
    <col min="9217" max="9225" width="0" style="47" hidden="1" customWidth="1"/>
    <col min="9226" max="9226" width="29.7109375" style="47" customWidth="1"/>
    <col min="9227" max="9227" width="8" style="47" customWidth="1"/>
    <col min="9228" max="9228" width="11.42578125" style="47" customWidth="1"/>
    <col min="9229" max="9229" width="0" style="47" hidden="1" customWidth="1"/>
    <col min="9230" max="9230" width="4.28515625" style="47" customWidth="1"/>
    <col min="9231" max="9231" width="0.140625" style="47" customWidth="1"/>
    <col min="9232" max="9238" width="0" style="47" hidden="1" customWidth="1"/>
    <col min="9239" max="9239" width="10.85546875" style="47" customWidth="1"/>
    <col min="9240" max="9240" width="9.85546875" style="47" customWidth="1"/>
    <col min="9241" max="9241" width="10.28515625" style="47" customWidth="1"/>
    <col min="9242" max="9242" width="10" style="47" customWidth="1"/>
    <col min="9243" max="9243" width="10.140625" style="47" customWidth="1"/>
    <col min="9244" max="9244" width="9.7109375" style="47" customWidth="1"/>
    <col min="9245" max="9245" width="10.140625" style="47" customWidth="1"/>
    <col min="9246" max="9247" width="8.7109375" style="47" customWidth="1"/>
    <col min="9248" max="9248" width="9.140625" style="47" customWidth="1"/>
    <col min="9249" max="9251" width="5.5703125" style="47" customWidth="1"/>
    <col min="9252" max="9472" width="9.140625" style="47"/>
    <col min="9473" max="9481" width="0" style="47" hidden="1" customWidth="1"/>
    <col min="9482" max="9482" width="29.7109375" style="47" customWidth="1"/>
    <col min="9483" max="9483" width="8" style="47" customWidth="1"/>
    <col min="9484" max="9484" width="11.42578125" style="47" customWidth="1"/>
    <col min="9485" max="9485" width="0" style="47" hidden="1" customWidth="1"/>
    <col min="9486" max="9486" width="4.28515625" style="47" customWidth="1"/>
    <col min="9487" max="9487" width="0.140625" style="47" customWidth="1"/>
    <col min="9488" max="9494" width="0" style="47" hidden="1" customWidth="1"/>
    <col min="9495" max="9495" width="10.85546875" style="47" customWidth="1"/>
    <col min="9496" max="9496" width="9.85546875" style="47" customWidth="1"/>
    <col min="9497" max="9497" width="10.28515625" style="47" customWidth="1"/>
    <col min="9498" max="9498" width="10" style="47" customWidth="1"/>
    <col min="9499" max="9499" width="10.140625" style="47" customWidth="1"/>
    <col min="9500" max="9500" width="9.7109375" style="47" customWidth="1"/>
    <col min="9501" max="9501" width="10.140625" style="47" customWidth="1"/>
    <col min="9502" max="9503" width="8.7109375" style="47" customWidth="1"/>
    <col min="9504" max="9504" width="9.140625" style="47" customWidth="1"/>
    <col min="9505" max="9507" width="5.5703125" style="47" customWidth="1"/>
    <col min="9508" max="9728" width="9.140625" style="47"/>
    <col min="9729" max="9737" width="0" style="47" hidden="1" customWidth="1"/>
    <col min="9738" max="9738" width="29.7109375" style="47" customWidth="1"/>
    <col min="9739" max="9739" width="8" style="47" customWidth="1"/>
    <col min="9740" max="9740" width="11.42578125" style="47" customWidth="1"/>
    <col min="9741" max="9741" width="0" style="47" hidden="1" customWidth="1"/>
    <col min="9742" max="9742" width="4.28515625" style="47" customWidth="1"/>
    <col min="9743" max="9743" width="0.140625" style="47" customWidth="1"/>
    <col min="9744" max="9750" width="0" style="47" hidden="1" customWidth="1"/>
    <col min="9751" max="9751" width="10.85546875" style="47" customWidth="1"/>
    <col min="9752" max="9752" width="9.85546875" style="47" customWidth="1"/>
    <col min="9753" max="9753" width="10.28515625" style="47" customWidth="1"/>
    <col min="9754" max="9754" width="10" style="47" customWidth="1"/>
    <col min="9755" max="9755" width="10.140625" style="47" customWidth="1"/>
    <col min="9756" max="9756" width="9.7109375" style="47" customWidth="1"/>
    <col min="9757" max="9757" width="10.140625" style="47" customWidth="1"/>
    <col min="9758" max="9759" width="8.7109375" style="47" customWidth="1"/>
    <col min="9760" max="9760" width="9.140625" style="47" customWidth="1"/>
    <col min="9761" max="9763" width="5.5703125" style="47" customWidth="1"/>
    <col min="9764" max="9984" width="9.140625" style="47"/>
    <col min="9985" max="9993" width="0" style="47" hidden="1" customWidth="1"/>
    <col min="9994" max="9994" width="29.7109375" style="47" customWidth="1"/>
    <col min="9995" max="9995" width="8" style="47" customWidth="1"/>
    <col min="9996" max="9996" width="11.42578125" style="47" customWidth="1"/>
    <col min="9997" max="9997" width="0" style="47" hidden="1" customWidth="1"/>
    <col min="9998" max="9998" width="4.28515625" style="47" customWidth="1"/>
    <col min="9999" max="9999" width="0.140625" style="47" customWidth="1"/>
    <col min="10000" max="10006" width="0" style="47" hidden="1" customWidth="1"/>
    <col min="10007" max="10007" width="10.85546875" style="47" customWidth="1"/>
    <col min="10008" max="10008" width="9.85546875" style="47" customWidth="1"/>
    <col min="10009" max="10009" width="10.28515625" style="47" customWidth="1"/>
    <col min="10010" max="10010" width="10" style="47" customWidth="1"/>
    <col min="10011" max="10011" width="10.140625" style="47" customWidth="1"/>
    <col min="10012" max="10012" width="9.7109375" style="47" customWidth="1"/>
    <col min="10013" max="10013" width="10.140625" style="47" customWidth="1"/>
    <col min="10014" max="10015" width="8.7109375" style="47" customWidth="1"/>
    <col min="10016" max="10016" width="9.140625" style="47" customWidth="1"/>
    <col min="10017" max="10019" width="5.5703125" style="47" customWidth="1"/>
    <col min="10020" max="10240" width="9.140625" style="47"/>
    <col min="10241" max="10249" width="0" style="47" hidden="1" customWidth="1"/>
    <col min="10250" max="10250" width="29.7109375" style="47" customWidth="1"/>
    <col min="10251" max="10251" width="8" style="47" customWidth="1"/>
    <col min="10252" max="10252" width="11.42578125" style="47" customWidth="1"/>
    <col min="10253" max="10253" width="0" style="47" hidden="1" customWidth="1"/>
    <col min="10254" max="10254" width="4.28515625" style="47" customWidth="1"/>
    <col min="10255" max="10255" width="0.140625" style="47" customWidth="1"/>
    <col min="10256" max="10262" width="0" style="47" hidden="1" customWidth="1"/>
    <col min="10263" max="10263" width="10.85546875" style="47" customWidth="1"/>
    <col min="10264" max="10264" width="9.85546875" style="47" customWidth="1"/>
    <col min="10265" max="10265" width="10.28515625" style="47" customWidth="1"/>
    <col min="10266" max="10266" width="10" style="47" customWidth="1"/>
    <col min="10267" max="10267" width="10.140625" style="47" customWidth="1"/>
    <col min="10268" max="10268" width="9.7109375" style="47" customWidth="1"/>
    <col min="10269" max="10269" width="10.140625" style="47" customWidth="1"/>
    <col min="10270" max="10271" width="8.7109375" style="47" customWidth="1"/>
    <col min="10272" max="10272" width="9.140625" style="47" customWidth="1"/>
    <col min="10273" max="10275" width="5.5703125" style="47" customWidth="1"/>
    <col min="10276" max="10496" width="9.140625" style="47"/>
    <col min="10497" max="10505" width="0" style="47" hidden="1" customWidth="1"/>
    <col min="10506" max="10506" width="29.7109375" style="47" customWidth="1"/>
    <col min="10507" max="10507" width="8" style="47" customWidth="1"/>
    <col min="10508" max="10508" width="11.42578125" style="47" customWidth="1"/>
    <col min="10509" max="10509" width="0" style="47" hidden="1" customWidth="1"/>
    <col min="10510" max="10510" width="4.28515625" style="47" customWidth="1"/>
    <col min="10511" max="10511" width="0.140625" style="47" customWidth="1"/>
    <col min="10512" max="10518" width="0" style="47" hidden="1" customWidth="1"/>
    <col min="10519" max="10519" width="10.85546875" style="47" customWidth="1"/>
    <col min="10520" max="10520" width="9.85546875" style="47" customWidth="1"/>
    <col min="10521" max="10521" width="10.28515625" style="47" customWidth="1"/>
    <col min="10522" max="10522" width="10" style="47" customWidth="1"/>
    <col min="10523" max="10523" width="10.140625" style="47" customWidth="1"/>
    <col min="10524" max="10524" width="9.7109375" style="47" customWidth="1"/>
    <col min="10525" max="10525" width="10.140625" style="47" customWidth="1"/>
    <col min="10526" max="10527" width="8.7109375" style="47" customWidth="1"/>
    <col min="10528" max="10528" width="9.140625" style="47" customWidth="1"/>
    <col min="10529" max="10531" width="5.5703125" style="47" customWidth="1"/>
    <col min="10532" max="10752" width="9.140625" style="47"/>
    <col min="10753" max="10761" width="0" style="47" hidden="1" customWidth="1"/>
    <col min="10762" max="10762" width="29.7109375" style="47" customWidth="1"/>
    <col min="10763" max="10763" width="8" style="47" customWidth="1"/>
    <col min="10764" max="10764" width="11.42578125" style="47" customWidth="1"/>
    <col min="10765" max="10765" width="0" style="47" hidden="1" customWidth="1"/>
    <col min="10766" max="10766" width="4.28515625" style="47" customWidth="1"/>
    <col min="10767" max="10767" width="0.140625" style="47" customWidth="1"/>
    <col min="10768" max="10774" width="0" style="47" hidden="1" customWidth="1"/>
    <col min="10775" max="10775" width="10.85546875" style="47" customWidth="1"/>
    <col min="10776" max="10776" width="9.85546875" style="47" customWidth="1"/>
    <col min="10777" max="10777" width="10.28515625" style="47" customWidth="1"/>
    <col min="10778" max="10778" width="10" style="47" customWidth="1"/>
    <col min="10779" max="10779" width="10.140625" style="47" customWidth="1"/>
    <col min="10780" max="10780" width="9.7109375" style="47" customWidth="1"/>
    <col min="10781" max="10781" width="10.140625" style="47" customWidth="1"/>
    <col min="10782" max="10783" width="8.7109375" style="47" customWidth="1"/>
    <col min="10784" max="10784" width="9.140625" style="47" customWidth="1"/>
    <col min="10785" max="10787" width="5.5703125" style="47" customWidth="1"/>
    <col min="10788" max="11008" width="9.140625" style="47"/>
    <col min="11009" max="11017" width="0" style="47" hidden="1" customWidth="1"/>
    <col min="11018" max="11018" width="29.7109375" style="47" customWidth="1"/>
    <col min="11019" max="11019" width="8" style="47" customWidth="1"/>
    <col min="11020" max="11020" width="11.42578125" style="47" customWidth="1"/>
    <col min="11021" max="11021" width="0" style="47" hidden="1" customWidth="1"/>
    <col min="11022" max="11022" width="4.28515625" style="47" customWidth="1"/>
    <col min="11023" max="11023" width="0.140625" style="47" customWidth="1"/>
    <col min="11024" max="11030" width="0" style="47" hidden="1" customWidth="1"/>
    <col min="11031" max="11031" width="10.85546875" style="47" customWidth="1"/>
    <col min="11032" max="11032" width="9.85546875" style="47" customWidth="1"/>
    <col min="11033" max="11033" width="10.28515625" style="47" customWidth="1"/>
    <col min="11034" max="11034" width="10" style="47" customWidth="1"/>
    <col min="11035" max="11035" width="10.140625" style="47" customWidth="1"/>
    <col min="11036" max="11036" width="9.7109375" style="47" customWidth="1"/>
    <col min="11037" max="11037" width="10.140625" style="47" customWidth="1"/>
    <col min="11038" max="11039" width="8.7109375" style="47" customWidth="1"/>
    <col min="11040" max="11040" width="9.140625" style="47" customWidth="1"/>
    <col min="11041" max="11043" width="5.5703125" style="47" customWidth="1"/>
    <col min="11044" max="11264" width="9.140625" style="47"/>
    <col min="11265" max="11273" width="0" style="47" hidden="1" customWidth="1"/>
    <col min="11274" max="11274" width="29.7109375" style="47" customWidth="1"/>
    <col min="11275" max="11275" width="8" style="47" customWidth="1"/>
    <col min="11276" max="11276" width="11.42578125" style="47" customWidth="1"/>
    <col min="11277" max="11277" width="0" style="47" hidden="1" customWidth="1"/>
    <col min="11278" max="11278" width="4.28515625" style="47" customWidth="1"/>
    <col min="11279" max="11279" width="0.140625" style="47" customWidth="1"/>
    <col min="11280" max="11286" width="0" style="47" hidden="1" customWidth="1"/>
    <col min="11287" max="11287" width="10.85546875" style="47" customWidth="1"/>
    <col min="11288" max="11288" width="9.85546875" style="47" customWidth="1"/>
    <col min="11289" max="11289" width="10.28515625" style="47" customWidth="1"/>
    <col min="11290" max="11290" width="10" style="47" customWidth="1"/>
    <col min="11291" max="11291" width="10.140625" style="47" customWidth="1"/>
    <col min="11292" max="11292" width="9.7109375" style="47" customWidth="1"/>
    <col min="11293" max="11293" width="10.140625" style="47" customWidth="1"/>
    <col min="11294" max="11295" width="8.7109375" style="47" customWidth="1"/>
    <col min="11296" max="11296" width="9.140625" style="47" customWidth="1"/>
    <col min="11297" max="11299" width="5.5703125" style="47" customWidth="1"/>
    <col min="11300" max="11520" width="9.140625" style="47"/>
    <col min="11521" max="11529" width="0" style="47" hidden="1" customWidth="1"/>
    <col min="11530" max="11530" width="29.7109375" style="47" customWidth="1"/>
    <col min="11531" max="11531" width="8" style="47" customWidth="1"/>
    <col min="11532" max="11532" width="11.42578125" style="47" customWidth="1"/>
    <col min="11533" max="11533" width="0" style="47" hidden="1" customWidth="1"/>
    <col min="11534" max="11534" width="4.28515625" style="47" customWidth="1"/>
    <col min="11535" max="11535" width="0.140625" style="47" customWidth="1"/>
    <col min="11536" max="11542" width="0" style="47" hidden="1" customWidth="1"/>
    <col min="11543" max="11543" width="10.85546875" style="47" customWidth="1"/>
    <col min="11544" max="11544" width="9.85546875" style="47" customWidth="1"/>
    <col min="11545" max="11545" width="10.28515625" style="47" customWidth="1"/>
    <col min="11546" max="11546" width="10" style="47" customWidth="1"/>
    <col min="11547" max="11547" width="10.140625" style="47" customWidth="1"/>
    <col min="11548" max="11548" width="9.7109375" style="47" customWidth="1"/>
    <col min="11549" max="11549" width="10.140625" style="47" customWidth="1"/>
    <col min="11550" max="11551" width="8.7109375" style="47" customWidth="1"/>
    <col min="11552" max="11552" width="9.140625" style="47" customWidth="1"/>
    <col min="11553" max="11555" width="5.5703125" style="47" customWidth="1"/>
    <col min="11556" max="11776" width="9.140625" style="47"/>
    <col min="11777" max="11785" width="0" style="47" hidden="1" customWidth="1"/>
    <col min="11786" max="11786" width="29.7109375" style="47" customWidth="1"/>
    <col min="11787" max="11787" width="8" style="47" customWidth="1"/>
    <col min="11788" max="11788" width="11.42578125" style="47" customWidth="1"/>
    <col min="11789" max="11789" width="0" style="47" hidden="1" customWidth="1"/>
    <col min="11790" max="11790" width="4.28515625" style="47" customWidth="1"/>
    <col min="11791" max="11791" width="0.140625" style="47" customWidth="1"/>
    <col min="11792" max="11798" width="0" style="47" hidden="1" customWidth="1"/>
    <col min="11799" max="11799" width="10.85546875" style="47" customWidth="1"/>
    <col min="11800" max="11800" width="9.85546875" style="47" customWidth="1"/>
    <col min="11801" max="11801" width="10.28515625" style="47" customWidth="1"/>
    <col min="11802" max="11802" width="10" style="47" customWidth="1"/>
    <col min="11803" max="11803" width="10.140625" style="47" customWidth="1"/>
    <col min="11804" max="11804" width="9.7109375" style="47" customWidth="1"/>
    <col min="11805" max="11805" width="10.140625" style="47" customWidth="1"/>
    <col min="11806" max="11807" width="8.7109375" style="47" customWidth="1"/>
    <col min="11808" max="11808" width="9.140625" style="47" customWidth="1"/>
    <col min="11809" max="11811" width="5.5703125" style="47" customWidth="1"/>
    <col min="11812" max="12032" width="9.140625" style="47"/>
    <col min="12033" max="12041" width="0" style="47" hidden="1" customWidth="1"/>
    <col min="12042" max="12042" width="29.7109375" style="47" customWidth="1"/>
    <col min="12043" max="12043" width="8" style="47" customWidth="1"/>
    <col min="12044" max="12044" width="11.42578125" style="47" customWidth="1"/>
    <col min="12045" max="12045" width="0" style="47" hidden="1" customWidth="1"/>
    <col min="12046" max="12046" width="4.28515625" style="47" customWidth="1"/>
    <col min="12047" max="12047" width="0.140625" style="47" customWidth="1"/>
    <col min="12048" max="12054" width="0" style="47" hidden="1" customWidth="1"/>
    <col min="12055" max="12055" width="10.85546875" style="47" customWidth="1"/>
    <col min="12056" max="12056" width="9.85546875" style="47" customWidth="1"/>
    <col min="12057" max="12057" width="10.28515625" style="47" customWidth="1"/>
    <col min="12058" max="12058" width="10" style="47" customWidth="1"/>
    <col min="12059" max="12059" width="10.140625" style="47" customWidth="1"/>
    <col min="12060" max="12060" width="9.7109375" style="47" customWidth="1"/>
    <col min="12061" max="12061" width="10.140625" style="47" customWidth="1"/>
    <col min="12062" max="12063" width="8.7109375" style="47" customWidth="1"/>
    <col min="12064" max="12064" width="9.140625" style="47" customWidth="1"/>
    <col min="12065" max="12067" width="5.5703125" style="47" customWidth="1"/>
    <col min="12068" max="12288" width="9.140625" style="47"/>
    <col min="12289" max="12297" width="0" style="47" hidden="1" customWidth="1"/>
    <col min="12298" max="12298" width="29.7109375" style="47" customWidth="1"/>
    <col min="12299" max="12299" width="8" style="47" customWidth="1"/>
    <col min="12300" max="12300" width="11.42578125" style="47" customWidth="1"/>
    <col min="12301" max="12301" width="0" style="47" hidden="1" customWidth="1"/>
    <col min="12302" max="12302" width="4.28515625" style="47" customWidth="1"/>
    <col min="12303" max="12303" width="0.140625" style="47" customWidth="1"/>
    <col min="12304" max="12310" width="0" style="47" hidden="1" customWidth="1"/>
    <col min="12311" max="12311" width="10.85546875" style="47" customWidth="1"/>
    <col min="12312" max="12312" width="9.85546875" style="47" customWidth="1"/>
    <col min="12313" max="12313" width="10.28515625" style="47" customWidth="1"/>
    <col min="12314" max="12314" width="10" style="47" customWidth="1"/>
    <col min="12315" max="12315" width="10.140625" style="47" customWidth="1"/>
    <col min="12316" max="12316" width="9.7109375" style="47" customWidth="1"/>
    <col min="12317" max="12317" width="10.140625" style="47" customWidth="1"/>
    <col min="12318" max="12319" width="8.7109375" style="47" customWidth="1"/>
    <col min="12320" max="12320" width="9.140625" style="47" customWidth="1"/>
    <col min="12321" max="12323" width="5.5703125" style="47" customWidth="1"/>
    <col min="12324" max="12544" width="9.140625" style="47"/>
    <col min="12545" max="12553" width="0" style="47" hidden="1" customWidth="1"/>
    <col min="12554" max="12554" width="29.7109375" style="47" customWidth="1"/>
    <col min="12555" max="12555" width="8" style="47" customWidth="1"/>
    <col min="12556" max="12556" width="11.42578125" style="47" customWidth="1"/>
    <col min="12557" max="12557" width="0" style="47" hidden="1" customWidth="1"/>
    <col min="12558" max="12558" width="4.28515625" style="47" customWidth="1"/>
    <col min="12559" max="12559" width="0.140625" style="47" customWidth="1"/>
    <col min="12560" max="12566" width="0" style="47" hidden="1" customWidth="1"/>
    <col min="12567" max="12567" width="10.85546875" style="47" customWidth="1"/>
    <col min="12568" max="12568" width="9.85546875" style="47" customWidth="1"/>
    <col min="12569" max="12569" width="10.28515625" style="47" customWidth="1"/>
    <col min="12570" max="12570" width="10" style="47" customWidth="1"/>
    <col min="12571" max="12571" width="10.140625" style="47" customWidth="1"/>
    <col min="12572" max="12572" width="9.7109375" style="47" customWidth="1"/>
    <col min="12573" max="12573" width="10.140625" style="47" customWidth="1"/>
    <col min="12574" max="12575" width="8.7109375" style="47" customWidth="1"/>
    <col min="12576" max="12576" width="9.140625" style="47" customWidth="1"/>
    <col min="12577" max="12579" width="5.5703125" style="47" customWidth="1"/>
    <col min="12580" max="12800" width="9.140625" style="47"/>
    <col min="12801" max="12809" width="0" style="47" hidden="1" customWidth="1"/>
    <col min="12810" max="12810" width="29.7109375" style="47" customWidth="1"/>
    <col min="12811" max="12811" width="8" style="47" customWidth="1"/>
    <col min="12812" max="12812" width="11.42578125" style="47" customWidth="1"/>
    <col min="12813" max="12813" width="0" style="47" hidden="1" customWidth="1"/>
    <col min="12814" max="12814" width="4.28515625" style="47" customWidth="1"/>
    <col min="12815" max="12815" width="0.140625" style="47" customWidth="1"/>
    <col min="12816" max="12822" width="0" style="47" hidden="1" customWidth="1"/>
    <col min="12823" max="12823" width="10.85546875" style="47" customWidth="1"/>
    <col min="12824" max="12824" width="9.85546875" style="47" customWidth="1"/>
    <col min="12825" max="12825" width="10.28515625" style="47" customWidth="1"/>
    <col min="12826" max="12826" width="10" style="47" customWidth="1"/>
    <col min="12827" max="12827" width="10.140625" style="47" customWidth="1"/>
    <col min="12828" max="12828" width="9.7109375" style="47" customWidth="1"/>
    <col min="12829" max="12829" width="10.140625" style="47" customWidth="1"/>
    <col min="12830" max="12831" width="8.7109375" style="47" customWidth="1"/>
    <col min="12832" max="12832" width="9.140625" style="47" customWidth="1"/>
    <col min="12833" max="12835" width="5.5703125" style="47" customWidth="1"/>
    <col min="12836" max="13056" width="9.140625" style="47"/>
    <col min="13057" max="13065" width="0" style="47" hidden="1" customWidth="1"/>
    <col min="13066" max="13066" width="29.7109375" style="47" customWidth="1"/>
    <col min="13067" max="13067" width="8" style="47" customWidth="1"/>
    <col min="13068" max="13068" width="11.42578125" style="47" customWidth="1"/>
    <col min="13069" max="13069" width="0" style="47" hidden="1" customWidth="1"/>
    <col min="13070" max="13070" width="4.28515625" style="47" customWidth="1"/>
    <col min="13071" max="13071" width="0.140625" style="47" customWidth="1"/>
    <col min="13072" max="13078" width="0" style="47" hidden="1" customWidth="1"/>
    <col min="13079" max="13079" width="10.85546875" style="47" customWidth="1"/>
    <col min="13080" max="13080" width="9.85546875" style="47" customWidth="1"/>
    <col min="13081" max="13081" width="10.28515625" style="47" customWidth="1"/>
    <col min="13082" max="13082" width="10" style="47" customWidth="1"/>
    <col min="13083" max="13083" width="10.140625" style="47" customWidth="1"/>
    <col min="13084" max="13084" width="9.7109375" style="47" customWidth="1"/>
    <col min="13085" max="13085" width="10.140625" style="47" customWidth="1"/>
    <col min="13086" max="13087" width="8.7109375" style="47" customWidth="1"/>
    <col min="13088" max="13088" width="9.140625" style="47" customWidth="1"/>
    <col min="13089" max="13091" width="5.5703125" style="47" customWidth="1"/>
    <col min="13092" max="13312" width="9.140625" style="47"/>
    <col min="13313" max="13321" width="0" style="47" hidden="1" customWidth="1"/>
    <col min="13322" max="13322" width="29.7109375" style="47" customWidth="1"/>
    <col min="13323" max="13323" width="8" style="47" customWidth="1"/>
    <col min="13324" max="13324" width="11.42578125" style="47" customWidth="1"/>
    <col min="13325" max="13325" width="0" style="47" hidden="1" customWidth="1"/>
    <col min="13326" max="13326" width="4.28515625" style="47" customWidth="1"/>
    <col min="13327" max="13327" width="0.140625" style="47" customWidth="1"/>
    <col min="13328" max="13334" width="0" style="47" hidden="1" customWidth="1"/>
    <col min="13335" max="13335" width="10.85546875" style="47" customWidth="1"/>
    <col min="13336" max="13336" width="9.85546875" style="47" customWidth="1"/>
    <col min="13337" max="13337" width="10.28515625" style="47" customWidth="1"/>
    <col min="13338" max="13338" width="10" style="47" customWidth="1"/>
    <col min="13339" max="13339" width="10.140625" style="47" customWidth="1"/>
    <col min="13340" max="13340" width="9.7109375" style="47" customWidth="1"/>
    <col min="13341" max="13341" width="10.140625" style="47" customWidth="1"/>
    <col min="13342" max="13343" width="8.7109375" style="47" customWidth="1"/>
    <col min="13344" max="13344" width="9.140625" style="47" customWidth="1"/>
    <col min="13345" max="13347" width="5.5703125" style="47" customWidth="1"/>
    <col min="13348" max="13568" width="9.140625" style="47"/>
    <col min="13569" max="13577" width="0" style="47" hidden="1" customWidth="1"/>
    <col min="13578" max="13578" width="29.7109375" style="47" customWidth="1"/>
    <col min="13579" max="13579" width="8" style="47" customWidth="1"/>
    <col min="13580" max="13580" width="11.42578125" style="47" customWidth="1"/>
    <col min="13581" max="13581" width="0" style="47" hidden="1" customWidth="1"/>
    <col min="13582" max="13582" width="4.28515625" style="47" customWidth="1"/>
    <col min="13583" max="13583" width="0.140625" style="47" customWidth="1"/>
    <col min="13584" max="13590" width="0" style="47" hidden="1" customWidth="1"/>
    <col min="13591" max="13591" width="10.85546875" style="47" customWidth="1"/>
    <col min="13592" max="13592" width="9.85546875" style="47" customWidth="1"/>
    <col min="13593" max="13593" width="10.28515625" style="47" customWidth="1"/>
    <col min="13594" max="13594" width="10" style="47" customWidth="1"/>
    <col min="13595" max="13595" width="10.140625" style="47" customWidth="1"/>
    <col min="13596" max="13596" width="9.7109375" style="47" customWidth="1"/>
    <col min="13597" max="13597" width="10.140625" style="47" customWidth="1"/>
    <col min="13598" max="13599" width="8.7109375" style="47" customWidth="1"/>
    <col min="13600" max="13600" width="9.140625" style="47" customWidth="1"/>
    <col min="13601" max="13603" width="5.5703125" style="47" customWidth="1"/>
    <col min="13604" max="13824" width="9.140625" style="47"/>
    <col min="13825" max="13833" width="0" style="47" hidden="1" customWidth="1"/>
    <col min="13834" max="13834" width="29.7109375" style="47" customWidth="1"/>
    <col min="13835" max="13835" width="8" style="47" customWidth="1"/>
    <col min="13836" max="13836" width="11.42578125" style="47" customWidth="1"/>
    <col min="13837" max="13837" width="0" style="47" hidden="1" customWidth="1"/>
    <col min="13838" max="13838" width="4.28515625" style="47" customWidth="1"/>
    <col min="13839" max="13839" width="0.140625" style="47" customWidth="1"/>
    <col min="13840" max="13846" width="0" style="47" hidden="1" customWidth="1"/>
    <col min="13847" max="13847" width="10.85546875" style="47" customWidth="1"/>
    <col min="13848" max="13848" width="9.85546875" style="47" customWidth="1"/>
    <col min="13849" max="13849" width="10.28515625" style="47" customWidth="1"/>
    <col min="13850" max="13850" width="10" style="47" customWidth="1"/>
    <col min="13851" max="13851" width="10.140625" style="47" customWidth="1"/>
    <col min="13852" max="13852" width="9.7109375" style="47" customWidth="1"/>
    <col min="13853" max="13853" width="10.140625" style="47" customWidth="1"/>
    <col min="13854" max="13855" width="8.7109375" style="47" customWidth="1"/>
    <col min="13856" max="13856" width="9.140625" style="47" customWidth="1"/>
    <col min="13857" max="13859" width="5.5703125" style="47" customWidth="1"/>
    <col min="13860" max="14080" width="9.140625" style="47"/>
    <col min="14081" max="14089" width="0" style="47" hidden="1" customWidth="1"/>
    <col min="14090" max="14090" width="29.7109375" style="47" customWidth="1"/>
    <col min="14091" max="14091" width="8" style="47" customWidth="1"/>
    <col min="14092" max="14092" width="11.42578125" style="47" customWidth="1"/>
    <col min="14093" max="14093" width="0" style="47" hidden="1" customWidth="1"/>
    <col min="14094" max="14094" width="4.28515625" style="47" customWidth="1"/>
    <col min="14095" max="14095" width="0.140625" style="47" customWidth="1"/>
    <col min="14096" max="14102" width="0" style="47" hidden="1" customWidth="1"/>
    <col min="14103" max="14103" width="10.85546875" style="47" customWidth="1"/>
    <col min="14104" max="14104" width="9.85546875" style="47" customWidth="1"/>
    <col min="14105" max="14105" width="10.28515625" style="47" customWidth="1"/>
    <col min="14106" max="14106" width="10" style="47" customWidth="1"/>
    <col min="14107" max="14107" width="10.140625" style="47" customWidth="1"/>
    <col min="14108" max="14108" width="9.7109375" style="47" customWidth="1"/>
    <col min="14109" max="14109" width="10.140625" style="47" customWidth="1"/>
    <col min="14110" max="14111" width="8.7109375" style="47" customWidth="1"/>
    <col min="14112" max="14112" width="9.140625" style="47" customWidth="1"/>
    <col min="14113" max="14115" width="5.5703125" style="47" customWidth="1"/>
    <col min="14116" max="14336" width="9.140625" style="47"/>
    <col min="14337" max="14345" width="0" style="47" hidden="1" customWidth="1"/>
    <col min="14346" max="14346" width="29.7109375" style="47" customWidth="1"/>
    <col min="14347" max="14347" width="8" style="47" customWidth="1"/>
    <col min="14348" max="14348" width="11.42578125" style="47" customWidth="1"/>
    <col min="14349" max="14349" width="0" style="47" hidden="1" customWidth="1"/>
    <col min="14350" max="14350" width="4.28515625" style="47" customWidth="1"/>
    <col min="14351" max="14351" width="0.140625" style="47" customWidth="1"/>
    <col min="14352" max="14358" width="0" style="47" hidden="1" customWidth="1"/>
    <col min="14359" max="14359" width="10.85546875" style="47" customWidth="1"/>
    <col min="14360" max="14360" width="9.85546875" style="47" customWidth="1"/>
    <col min="14361" max="14361" width="10.28515625" style="47" customWidth="1"/>
    <col min="14362" max="14362" width="10" style="47" customWidth="1"/>
    <col min="14363" max="14363" width="10.140625" style="47" customWidth="1"/>
    <col min="14364" max="14364" width="9.7109375" style="47" customWidth="1"/>
    <col min="14365" max="14365" width="10.140625" style="47" customWidth="1"/>
    <col min="14366" max="14367" width="8.7109375" style="47" customWidth="1"/>
    <col min="14368" max="14368" width="9.140625" style="47" customWidth="1"/>
    <col min="14369" max="14371" width="5.5703125" style="47" customWidth="1"/>
    <col min="14372" max="14592" width="9.140625" style="47"/>
    <col min="14593" max="14601" width="0" style="47" hidden="1" customWidth="1"/>
    <col min="14602" max="14602" width="29.7109375" style="47" customWidth="1"/>
    <col min="14603" max="14603" width="8" style="47" customWidth="1"/>
    <col min="14604" max="14604" width="11.42578125" style="47" customWidth="1"/>
    <col min="14605" max="14605" width="0" style="47" hidden="1" customWidth="1"/>
    <col min="14606" max="14606" width="4.28515625" style="47" customWidth="1"/>
    <col min="14607" max="14607" width="0.140625" style="47" customWidth="1"/>
    <col min="14608" max="14614" width="0" style="47" hidden="1" customWidth="1"/>
    <col min="14615" max="14615" width="10.85546875" style="47" customWidth="1"/>
    <col min="14616" max="14616" width="9.85546875" style="47" customWidth="1"/>
    <col min="14617" max="14617" width="10.28515625" style="47" customWidth="1"/>
    <col min="14618" max="14618" width="10" style="47" customWidth="1"/>
    <col min="14619" max="14619" width="10.140625" style="47" customWidth="1"/>
    <col min="14620" max="14620" width="9.7109375" style="47" customWidth="1"/>
    <col min="14621" max="14621" width="10.140625" style="47" customWidth="1"/>
    <col min="14622" max="14623" width="8.7109375" style="47" customWidth="1"/>
    <col min="14624" max="14624" width="9.140625" style="47" customWidth="1"/>
    <col min="14625" max="14627" width="5.5703125" style="47" customWidth="1"/>
    <col min="14628" max="14848" width="9.140625" style="47"/>
    <col min="14849" max="14857" width="0" style="47" hidden="1" customWidth="1"/>
    <col min="14858" max="14858" width="29.7109375" style="47" customWidth="1"/>
    <col min="14859" max="14859" width="8" style="47" customWidth="1"/>
    <col min="14860" max="14860" width="11.42578125" style="47" customWidth="1"/>
    <col min="14861" max="14861" width="0" style="47" hidden="1" customWidth="1"/>
    <col min="14862" max="14862" width="4.28515625" style="47" customWidth="1"/>
    <col min="14863" max="14863" width="0.140625" style="47" customWidth="1"/>
    <col min="14864" max="14870" width="0" style="47" hidden="1" customWidth="1"/>
    <col min="14871" max="14871" width="10.85546875" style="47" customWidth="1"/>
    <col min="14872" max="14872" width="9.85546875" style="47" customWidth="1"/>
    <col min="14873" max="14873" width="10.28515625" style="47" customWidth="1"/>
    <col min="14874" max="14874" width="10" style="47" customWidth="1"/>
    <col min="14875" max="14875" width="10.140625" style="47" customWidth="1"/>
    <col min="14876" max="14876" width="9.7109375" style="47" customWidth="1"/>
    <col min="14877" max="14877" width="10.140625" style="47" customWidth="1"/>
    <col min="14878" max="14879" width="8.7109375" style="47" customWidth="1"/>
    <col min="14880" max="14880" width="9.140625" style="47" customWidth="1"/>
    <col min="14881" max="14883" width="5.5703125" style="47" customWidth="1"/>
    <col min="14884" max="15104" width="9.140625" style="47"/>
    <col min="15105" max="15113" width="0" style="47" hidden="1" customWidth="1"/>
    <col min="15114" max="15114" width="29.7109375" style="47" customWidth="1"/>
    <col min="15115" max="15115" width="8" style="47" customWidth="1"/>
    <col min="15116" max="15116" width="11.42578125" style="47" customWidth="1"/>
    <col min="15117" max="15117" width="0" style="47" hidden="1" customWidth="1"/>
    <col min="15118" max="15118" width="4.28515625" style="47" customWidth="1"/>
    <col min="15119" max="15119" width="0.140625" style="47" customWidth="1"/>
    <col min="15120" max="15126" width="0" style="47" hidden="1" customWidth="1"/>
    <col min="15127" max="15127" width="10.85546875" style="47" customWidth="1"/>
    <col min="15128" max="15128" width="9.85546875" style="47" customWidth="1"/>
    <col min="15129" max="15129" width="10.28515625" style="47" customWidth="1"/>
    <col min="15130" max="15130" width="10" style="47" customWidth="1"/>
    <col min="15131" max="15131" width="10.140625" style="47" customWidth="1"/>
    <col min="15132" max="15132" width="9.7109375" style="47" customWidth="1"/>
    <col min="15133" max="15133" width="10.140625" style="47" customWidth="1"/>
    <col min="15134" max="15135" width="8.7109375" style="47" customWidth="1"/>
    <col min="15136" max="15136" width="9.140625" style="47" customWidth="1"/>
    <col min="15137" max="15139" width="5.5703125" style="47" customWidth="1"/>
    <col min="15140" max="15360" width="9.140625" style="47"/>
    <col min="15361" max="15369" width="0" style="47" hidden="1" customWidth="1"/>
    <col min="15370" max="15370" width="29.7109375" style="47" customWidth="1"/>
    <col min="15371" max="15371" width="8" style="47" customWidth="1"/>
    <col min="15372" max="15372" width="11.42578125" style="47" customWidth="1"/>
    <col min="15373" max="15373" width="0" style="47" hidden="1" customWidth="1"/>
    <col min="15374" max="15374" width="4.28515625" style="47" customWidth="1"/>
    <col min="15375" max="15375" width="0.140625" style="47" customWidth="1"/>
    <col min="15376" max="15382" width="0" style="47" hidden="1" customWidth="1"/>
    <col min="15383" max="15383" width="10.85546875" style="47" customWidth="1"/>
    <col min="15384" max="15384" width="9.85546875" style="47" customWidth="1"/>
    <col min="15385" max="15385" width="10.28515625" style="47" customWidth="1"/>
    <col min="15386" max="15386" width="10" style="47" customWidth="1"/>
    <col min="15387" max="15387" width="10.140625" style="47" customWidth="1"/>
    <col min="15388" max="15388" width="9.7109375" style="47" customWidth="1"/>
    <col min="15389" max="15389" width="10.140625" style="47" customWidth="1"/>
    <col min="15390" max="15391" width="8.7109375" style="47" customWidth="1"/>
    <col min="15392" max="15392" width="9.140625" style="47" customWidth="1"/>
    <col min="15393" max="15395" width="5.5703125" style="47" customWidth="1"/>
    <col min="15396" max="15616" width="9.140625" style="47"/>
    <col min="15617" max="15625" width="0" style="47" hidden="1" customWidth="1"/>
    <col min="15626" max="15626" width="29.7109375" style="47" customWidth="1"/>
    <col min="15627" max="15627" width="8" style="47" customWidth="1"/>
    <col min="15628" max="15628" width="11.42578125" style="47" customWidth="1"/>
    <col min="15629" max="15629" width="0" style="47" hidden="1" customWidth="1"/>
    <col min="15630" max="15630" width="4.28515625" style="47" customWidth="1"/>
    <col min="15631" max="15631" width="0.140625" style="47" customWidth="1"/>
    <col min="15632" max="15638" width="0" style="47" hidden="1" customWidth="1"/>
    <col min="15639" max="15639" width="10.85546875" style="47" customWidth="1"/>
    <col min="15640" max="15640" width="9.85546875" style="47" customWidth="1"/>
    <col min="15641" max="15641" width="10.28515625" style="47" customWidth="1"/>
    <col min="15642" max="15642" width="10" style="47" customWidth="1"/>
    <col min="15643" max="15643" width="10.140625" style="47" customWidth="1"/>
    <col min="15644" max="15644" width="9.7109375" style="47" customWidth="1"/>
    <col min="15645" max="15645" width="10.140625" style="47" customWidth="1"/>
    <col min="15646" max="15647" width="8.7109375" style="47" customWidth="1"/>
    <col min="15648" max="15648" width="9.140625" style="47" customWidth="1"/>
    <col min="15649" max="15651" width="5.5703125" style="47" customWidth="1"/>
    <col min="15652" max="15872" width="9.140625" style="47"/>
    <col min="15873" max="15881" width="0" style="47" hidden="1" customWidth="1"/>
    <col min="15882" max="15882" width="29.7109375" style="47" customWidth="1"/>
    <col min="15883" max="15883" width="8" style="47" customWidth="1"/>
    <col min="15884" max="15884" width="11.42578125" style="47" customWidth="1"/>
    <col min="15885" max="15885" width="0" style="47" hidden="1" customWidth="1"/>
    <col min="15886" max="15886" width="4.28515625" style="47" customWidth="1"/>
    <col min="15887" max="15887" width="0.140625" style="47" customWidth="1"/>
    <col min="15888" max="15894" width="0" style="47" hidden="1" customWidth="1"/>
    <col min="15895" max="15895" width="10.85546875" style="47" customWidth="1"/>
    <col min="15896" max="15896" width="9.85546875" style="47" customWidth="1"/>
    <col min="15897" max="15897" width="10.28515625" style="47" customWidth="1"/>
    <col min="15898" max="15898" width="10" style="47" customWidth="1"/>
    <col min="15899" max="15899" width="10.140625" style="47" customWidth="1"/>
    <col min="15900" max="15900" width="9.7109375" style="47" customWidth="1"/>
    <col min="15901" max="15901" width="10.140625" style="47" customWidth="1"/>
    <col min="15902" max="15903" width="8.7109375" style="47" customWidth="1"/>
    <col min="15904" max="15904" width="9.140625" style="47" customWidth="1"/>
    <col min="15905" max="15907" width="5.5703125" style="47" customWidth="1"/>
    <col min="15908" max="16128" width="9.140625" style="47"/>
    <col min="16129" max="16137" width="0" style="47" hidden="1" customWidth="1"/>
    <col min="16138" max="16138" width="29.7109375" style="47" customWidth="1"/>
    <col min="16139" max="16139" width="8" style="47" customWidth="1"/>
    <col min="16140" max="16140" width="11.42578125" style="47" customWidth="1"/>
    <col min="16141" max="16141" width="0" style="47" hidden="1" customWidth="1"/>
    <col min="16142" max="16142" width="4.28515625" style="47" customWidth="1"/>
    <col min="16143" max="16143" width="0.140625" style="47" customWidth="1"/>
    <col min="16144" max="16150" width="0" style="47" hidden="1" customWidth="1"/>
    <col min="16151" max="16151" width="10.85546875" style="47" customWidth="1"/>
    <col min="16152" max="16152" width="9.85546875" style="47" customWidth="1"/>
    <col min="16153" max="16153" width="10.28515625" style="47" customWidth="1"/>
    <col min="16154" max="16154" width="10" style="47" customWidth="1"/>
    <col min="16155" max="16155" width="10.140625" style="47" customWidth="1"/>
    <col min="16156" max="16156" width="9.7109375" style="47" customWidth="1"/>
    <col min="16157" max="16157" width="10.140625" style="47" customWidth="1"/>
    <col min="16158" max="16159" width="8.7109375" style="47" customWidth="1"/>
    <col min="16160" max="16160" width="9.140625" style="47" customWidth="1"/>
    <col min="16161" max="16163" width="5.5703125" style="47" customWidth="1"/>
    <col min="16164" max="16384" width="9.140625" style="47"/>
  </cols>
  <sheetData>
    <row r="1" spans="1:35" ht="19.899999999999999" customHeight="1" x14ac:dyDescent="0.25">
      <c r="A1" s="38"/>
      <c r="B1" s="39"/>
      <c r="C1" s="39"/>
      <c r="D1" s="40"/>
      <c r="E1" s="39"/>
      <c r="F1" s="39"/>
      <c r="G1" s="41"/>
      <c r="H1" s="39"/>
      <c r="I1" s="41"/>
      <c r="J1" s="3180" t="s">
        <v>148</v>
      </c>
      <c r="K1" s="41"/>
      <c r="L1" s="42"/>
      <c r="M1" s="42"/>
      <c r="N1" s="43"/>
      <c r="O1" s="39"/>
      <c r="P1" s="42"/>
      <c r="Q1" s="44"/>
      <c r="R1" s="44"/>
      <c r="S1" s="42"/>
      <c r="T1" s="45"/>
      <c r="U1" s="45"/>
      <c r="V1" s="45"/>
      <c r="W1" s="46"/>
      <c r="X1" s="3160" t="s">
        <v>149</v>
      </c>
      <c r="Y1" s="3161"/>
      <c r="Z1" s="3162"/>
      <c r="AA1" s="3163" t="s">
        <v>150</v>
      </c>
      <c r="AB1" s="3164"/>
      <c r="AC1" s="3165"/>
      <c r="AD1" s="3166" t="s">
        <v>151</v>
      </c>
      <c r="AE1" s="3167"/>
      <c r="AF1" s="3168"/>
      <c r="AG1" s="3169" t="s">
        <v>152</v>
      </c>
      <c r="AH1" s="3170"/>
      <c r="AI1" s="3171"/>
    </row>
    <row r="2" spans="1:35" ht="9" customHeight="1" x14ac:dyDescent="0.25">
      <c r="B2" s="39"/>
      <c r="C2" s="48" t="s">
        <v>153</v>
      </c>
      <c r="D2" s="40"/>
      <c r="E2" s="39"/>
      <c r="F2" s="39"/>
      <c r="G2" s="41"/>
      <c r="H2" s="39"/>
      <c r="I2" s="41"/>
      <c r="J2" s="3181"/>
      <c r="K2" s="41"/>
      <c r="L2" s="42"/>
      <c r="M2" s="42"/>
      <c r="N2" s="43"/>
      <c r="O2" s="39"/>
      <c r="P2" s="42"/>
      <c r="Q2" s="44"/>
      <c r="R2" s="44"/>
      <c r="S2" s="42"/>
      <c r="T2" s="49">
        <f t="shared" ref="T2:AI2" si="0">T5+T18+T54+T72+T83+T86</f>
        <v>1357858093</v>
      </c>
      <c r="U2" s="49">
        <f t="shared" si="0"/>
        <v>952168383</v>
      </c>
      <c r="V2" s="49">
        <f t="shared" si="0"/>
        <v>3834000000</v>
      </c>
      <c r="W2" s="50">
        <f t="shared" si="0"/>
        <v>3834000000</v>
      </c>
      <c r="X2" s="51">
        <f t="shared" si="0"/>
        <v>4134000000</v>
      </c>
      <c r="Y2" s="51">
        <f t="shared" si="0"/>
        <v>5034000000</v>
      </c>
      <c r="Z2" s="52">
        <f t="shared" si="0"/>
        <v>4534000000</v>
      </c>
      <c r="AA2" s="50">
        <f t="shared" si="0"/>
        <v>3834000000</v>
      </c>
      <c r="AB2" s="53">
        <f t="shared" si="0"/>
        <v>4734000000</v>
      </c>
      <c r="AC2" s="54">
        <f t="shared" si="0"/>
        <v>4234000000</v>
      </c>
      <c r="AD2" s="55">
        <f t="shared" si="0"/>
        <v>300000000</v>
      </c>
      <c r="AE2" s="56">
        <f t="shared" si="0"/>
        <v>300000000</v>
      </c>
      <c r="AF2" s="57">
        <f t="shared" si="0"/>
        <v>300000000</v>
      </c>
      <c r="AG2" s="58">
        <f t="shared" si="0"/>
        <v>0</v>
      </c>
      <c r="AH2" s="59">
        <f t="shared" si="0"/>
        <v>0</v>
      </c>
      <c r="AI2" s="60">
        <f t="shared" si="0"/>
        <v>0</v>
      </c>
    </row>
    <row r="3" spans="1:35" ht="28.5" customHeight="1" x14ac:dyDescent="0.25">
      <c r="A3" s="61" t="s">
        <v>154</v>
      </c>
      <c r="B3" s="62" t="s">
        <v>155</v>
      </c>
      <c r="C3" s="62" t="s">
        <v>156</v>
      </c>
      <c r="D3" s="62" t="s">
        <v>157</v>
      </c>
      <c r="E3" s="63" t="s">
        <v>158</v>
      </c>
      <c r="F3" s="63" t="s">
        <v>159</v>
      </c>
      <c r="G3" s="62" t="s">
        <v>160</v>
      </c>
      <c r="H3" s="63" t="s">
        <v>161</v>
      </c>
      <c r="I3" s="62" t="s">
        <v>98</v>
      </c>
      <c r="J3" s="62" t="s">
        <v>162</v>
      </c>
      <c r="K3" s="62" t="s">
        <v>98</v>
      </c>
      <c r="L3" s="64" t="s">
        <v>163</v>
      </c>
      <c r="M3" s="64" t="s">
        <v>164</v>
      </c>
      <c r="N3" s="65" t="s">
        <v>165</v>
      </c>
      <c r="O3" s="65" t="s">
        <v>166</v>
      </c>
      <c r="P3" s="66" t="s">
        <v>167</v>
      </c>
      <c r="Q3" s="3172" t="s">
        <v>168</v>
      </c>
      <c r="R3" s="3173"/>
      <c r="S3" s="66" t="s">
        <v>169</v>
      </c>
      <c r="T3" s="3174" t="s">
        <v>170</v>
      </c>
      <c r="U3" s="3175"/>
      <c r="V3" s="67" t="s">
        <v>171</v>
      </c>
      <c r="W3" s="68" t="s">
        <v>172</v>
      </c>
      <c r="X3" s="69" t="s">
        <v>173</v>
      </c>
      <c r="Y3" s="70" t="s">
        <v>174</v>
      </c>
      <c r="Z3" s="70" t="s">
        <v>175</v>
      </c>
      <c r="AA3" s="71" t="s">
        <v>173</v>
      </c>
      <c r="AB3" s="72" t="s">
        <v>174</v>
      </c>
      <c r="AC3" s="72" t="s">
        <v>175</v>
      </c>
      <c r="AD3" s="73" t="s">
        <v>173</v>
      </c>
      <c r="AE3" s="74" t="s">
        <v>174</v>
      </c>
      <c r="AF3" s="74" t="s">
        <v>175</v>
      </c>
      <c r="AG3" s="75" t="s">
        <v>173</v>
      </c>
      <c r="AH3" s="76" t="s">
        <v>174</v>
      </c>
      <c r="AI3" s="76" t="s">
        <v>175</v>
      </c>
    </row>
    <row r="4" spans="1:35" x14ac:dyDescent="0.15">
      <c r="A4" s="77" t="s">
        <v>176</v>
      </c>
      <c r="B4" s="78">
        <v>11</v>
      </c>
      <c r="C4" s="78"/>
      <c r="D4" s="78"/>
      <c r="E4" s="79"/>
      <c r="F4" s="77"/>
      <c r="G4" s="77"/>
      <c r="H4" s="79"/>
      <c r="I4" s="77"/>
      <c r="J4" s="47"/>
      <c r="K4" s="77"/>
      <c r="L4" s="80">
        <f>L5+L18+L54+L72+L83+L86</f>
        <v>17188434754</v>
      </c>
      <c r="M4" s="80">
        <f t="shared" ref="M4:AA4" si="1">M5+M18+M54+M72+M83+M86</f>
        <v>7195158699</v>
      </c>
      <c r="N4" s="80">
        <f t="shared" si="1"/>
        <v>0</v>
      </c>
      <c r="O4" s="80">
        <f t="shared" si="1"/>
        <v>0</v>
      </c>
      <c r="P4" s="80">
        <f t="shared" si="1"/>
        <v>569231737</v>
      </c>
      <c r="Q4" s="80">
        <f t="shared" si="1"/>
        <v>1558993146</v>
      </c>
      <c r="R4" s="80">
        <f t="shared" si="1"/>
        <v>1397546675</v>
      </c>
      <c r="S4" s="80">
        <f t="shared" si="1"/>
        <v>2735102996</v>
      </c>
      <c r="T4" s="80">
        <f t="shared" si="1"/>
        <v>1357858093</v>
      </c>
      <c r="U4" s="80">
        <f t="shared" si="1"/>
        <v>952168383</v>
      </c>
      <c r="V4" s="80">
        <f t="shared" si="1"/>
        <v>3834000000</v>
      </c>
      <c r="W4" s="81">
        <f t="shared" si="1"/>
        <v>3834000000</v>
      </c>
      <c r="X4" s="82">
        <f t="shared" si="1"/>
        <v>4134000000</v>
      </c>
      <c r="Y4" s="82">
        <f>Y5+Y18+Y54+Y72+Y83+Y86</f>
        <v>5034000000</v>
      </c>
      <c r="Z4" s="82">
        <f t="shared" si="1"/>
        <v>4534000000</v>
      </c>
      <c r="AA4" s="83">
        <f t="shared" si="1"/>
        <v>3834000000</v>
      </c>
      <c r="AB4" s="83">
        <f>AB5+AB18+AB54+AB72+AB83+AB86</f>
        <v>4734000000</v>
      </c>
      <c r="AC4" s="83">
        <f t="shared" ref="AC4:AD4" si="2">AC5+AC18+AC54+AC72+AC83+AC86</f>
        <v>4234000000</v>
      </c>
      <c r="AD4" s="84">
        <f t="shared" si="2"/>
        <v>300000000</v>
      </c>
      <c r="AE4" s="84">
        <f>AE5+AE18+AE54+AE72+AE83+AE86</f>
        <v>300000000</v>
      </c>
      <c r="AF4" s="84">
        <f t="shared" ref="AF4:AG4" si="3">AF5+AF18+AF54+AF72+AF83+AF86</f>
        <v>300000000</v>
      </c>
      <c r="AG4" s="85">
        <f t="shared" si="3"/>
        <v>0</v>
      </c>
      <c r="AH4" s="85">
        <f>AH5+AH18+AH54+AH72+AH83+AH86</f>
        <v>0</v>
      </c>
      <c r="AI4" s="85">
        <f t="shared" ref="AI4" si="4">AI5+AI18+AI54+AI72+AI83+AI86</f>
        <v>0</v>
      </c>
    </row>
    <row r="5" spans="1:35" ht="13.15" customHeight="1" x14ac:dyDescent="0.15">
      <c r="A5" s="77" t="s">
        <v>177</v>
      </c>
      <c r="B5" s="78">
        <v>11</v>
      </c>
      <c r="C5" s="78"/>
      <c r="D5" s="3176" t="s">
        <v>178</v>
      </c>
      <c r="E5" s="3177"/>
      <c r="F5" s="79" t="s">
        <v>144</v>
      </c>
      <c r="G5" s="77"/>
      <c r="H5" s="79"/>
      <c r="I5" s="77"/>
      <c r="J5" s="3176" t="s">
        <v>178</v>
      </c>
      <c r="K5" s="3177"/>
      <c r="L5" s="86">
        <f>SUM(L6:L17)</f>
        <v>240793032</v>
      </c>
      <c r="M5" s="86">
        <f>SUM(M6:M10)</f>
        <v>69099442</v>
      </c>
      <c r="N5" s="78"/>
      <c r="O5" s="78"/>
      <c r="P5" s="87">
        <f>SUM(P6:P10)</f>
        <v>465042</v>
      </c>
      <c r="Q5" s="87">
        <f>SUM(Q6:Q10)</f>
        <v>24750000</v>
      </c>
      <c r="R5" s="87">
        <f>SUM(R6:R10)</f>
        <v>23818800</v>
      </c>
      <c r="S5" s="87">
        <f>SUM(S6:S10)</f>
        <v>43884400</v>
      </c>
      <c r="T5" s="88">
        <f>SUBTOTAL(9,T6:T11)</f>
        <v>31405723</v>
      </c>
      <c r="U5" s="88">
        <f>SUBTOTAL(9,U6:U11)</f>
        <v>26253723</v>
      </c>
      <c r="V5" s="80">
        <f t="shared" ref="V5:AI5" si="5">SUBTOTAL(9,V6:V17)</f>
        <v>72000000</v>
      </c>
      <c r="W5" s="81">
        <f t="shared" si="5"/>
        <v>72000000</v>
      </c>
      <c r="X5" s="89">
        <f t="shared" si="5"/>
        <v>52000000</v>
      </c>
      <c r="Y5" s="89">
        <f t="shared" si="5"/>
        <v>55000000</v>
      </c>
      <c r="Z5" s="89">
        <f t="shared" si="5"/>
        <v>55000000</v>
      </c>
      <c r="AA5" s="90">
        <f t="shared" si="5"/>
        <v>52000000</v>
      </c>
      <c r="AB5" s="90">
        <f t="shared" si="5"/>
        <v>55000000</v>
      </c>
      <c r="AC5" s="90">
        <f t="shared" si="5"/>
        <v>55000000</v>
      </c>
      <c r="AD5" s="90">
        <f t="shared" si="5"/>
        <v>0</v>
      </c>
      <c r="AE5" s="90">
        <f t="shared" si="5"/>
        <v>0</v>
      </c>
      <c r="AF5" s="90">
        <f t="shared" si="5"/>
        <v>0</v>
      </c>
      <c r="AG5" s="91">
        <f t="shared" si="5"/>
        <v>0</v>
      </c>
      <c r="AH5" s="91">
        <f t="shared" si="5"/>
        <v>0</v>
      </c>
      <c r="AI5" s="91">
        <f t="shared" si="5"/>
        <v>0</v>
      </c>
    </row>
    <row r="6" spans="1:35" ht="57.75" x14ac:dyDescent="0.15">
      <c r="A6" s="92" t="s">
        <v>179</v>
      </c>
      <c r="B6" s="93" t="s">
        <v>180</v>
      </c>
      <c r="C6" s="94">
        <v>1011001</v>
      </c>
      <c r="D6" s="95" t="s">
        <v>181</v>
      </c>
      <c r="E6" s="93" t="s">
        <v>182</v>
      </c>
      <c r="F6" s="93" t="s">
        <v>144</v>
      </c>
      <c r="G6" s="93" t="s">
        <v>183</v>
      </c>
      <c r="H6" s="92">
        <v>3535</v>
      </c>
      <c r="I6" s="93" t="s">
        <v>184</v>
      </c>
      <c r="J6" s="96" t="s">
        <v>185</v>
      </c>
      <c r="K6" s="93" t="s">
        <v>184</v>
      </c>
      <c r="L6" s="97">
        <f t="shared" ref="L6:L16" si="6">P6+R6+U6+V6+X6+Z6</f>
        <v>56363523</v>
      </c>
      <c r="M6" s="98">
        <v>30599582</v>
      </c>
      <c r="N6" s="99" t="s">
        <v>186</v>
      </c>
      <c r="O6" s="99" t="s">
        <v>187</v>
      </c>
      <c r="P6" s="100">
        <v>0</v>
      </c>
      <c r="Q6" s="100">
        <v>13000000</v>
      </c>
      <c r="R6" s="100">
        <v>12068800</v>
      </c>
      <c r="S6" s="100">
        <f>M6-P6-Q6</f>
        <v>17599582</v>
      </c>
      <c r="T6" s="100">
        <f>17094982-259</f>
        <v>17094723</v>
      </c>
      <c r="U6" s="100">
        <v>17094723</v>
      </c>
      <c r="V6" s="100">
        <v>7200000</v>
      </c>
      <c r="W6" s="101">
        <v>7200000</v>
      </c>
      <c r="X6" s="100">
        <v>10000000</v>
      </c>
      <c r="Y6" s="100">
        <v>10000000</v>
      </c>
      <c r="Z6" s="100">
        <v>10000000</v>
      </c>
      <c r="AA6" s="97">
        <v>10000000</v>
      </c>
      <c r="AB6" s="97">
        <v>10000000</v>
      </c>
      <c r="AC6" s="97">
        <v>10000000</v>
      </c>
      <c r="AD6" s="97"/>
      <c r="AE6" s="97"/>
      <c r="AF6" s="97"/>
      <c r="AG6" s="97"/>
      <c r="AH6" s="97"/>
      <c r="AI6" s="97"/>
    </row>
    <row r="7" spans="1:35" ht="15.75" customHeight="1" x14ac:dyDescent="0.15">
      <c r="A7" s="92" t="s">
        <v>179</v>
      </c>
      <c r="B7" s="93" t="s">
        <v>180</v>
      </c>
      <c r="C7" s="94">
        <v>1011001</v>
      </c>
      <c r="D7" s="95" t="s">
        <v>181</v>
      </c>
      <c r="E7" s="93" t="s">
        <v>182</v>
      </c>
      <c r="F7" s="93" t="s">
        <v>144</v>
      </c>
      <c r="G7" s="93" t="s">
        <v>183</v>
      </c>
      <c r="H7" s="92">
        <v>3535</v>
      </c>
      <c r="I7" s="93" t="s">
        <v>188</v>
      </c>
      <c r="J7" s="96" t="s">
        <v>189</v>
      </c>
      <c r="K7" s="93" t="s">
        <v>188</v>
      </c>
      <c r="L7" s="97">
        <f t="shared" si="6"/>
        <v>82754275</v>
      </c>
      <c r="M7" s="98">
        <v>12465042</v>
      </c>
      <c r="N7" s="99" t="s">
        <v>186</v>
      </c>
      <c r="O7" s="99" t="s">
        <v>187</v>
      </c>
      <c r="P7" s="100">
        <v>465042</v>
      </c>
      <c r="Q7" s="100">
        <v>1500000</v>
      </c>
      <c r="R7" s="100">
        <v>1500000</v>
      </c>
      <c r="S7" s="100">
        <f>M7-P7-Q7</f>
        <v>10500000</v>
      </c>
      <c r="T7" s="100">
        <f>2366000-55000</f>
        <v>2311000</v>
      </c>
      <c r="U7" s="100">
        <v>0</v>
      </c>
      <c r="V7" s="100">
        <v>15289233</v>
      </c>
      <c r="W7" s="101">
        <v>15285409</v>
      </c>
      <c r="X7" s="100">
        <v>22000000</v>
      </c>
      <c r="Y7" s="100">
        <v>43500000</v>
      </c>
      <c r="Z7" s="100">
        <v>43500000</v>
      </c>
      <c r="AA7" s="97">
        <v>22000000</v>
      </c>
      <c r="AB7" s="97">
        <v>43500000</v>
      </c>
      <c r="AC7" s="97">
        <v>43500000</v>
      </c>
      <c r="AD7" s="97"/>
      <c r="AE7" s="97"/>
      <c r="AF7" s="97"/>
      <c r="AG7" s="97"/>
      <c r="AH7" s="97"/>
      <c r="AI7" s="97"/>
    </row>
    <row r="8" spans="1:35" ht="15" customHeight="1" x14ac:dyDescent="0.15">
      <c r="A8" s="92" t="s">
        <v>179</v>
      </c>
      <c r="B8" s="93" t="s">
        <v>180</v>
      </c>
      <c r="C8" s="94">
        <v>1011001</v>
      </c>
      <c r="D8" s="95" t="s">
        <v>181</v>
      </c>
      <c r="E8" s="93" t="s">
        <v>182</v>
      </c>
      <c r="F8" s="93" t="s">
        <v>144</v>
      </c>
      <c r="G8" s="93" t="s">
        <v>183</v>
      </c>
      <c r="H8" s="92">
        <v>3535</v>
      </c>
      <c r="I8" s="92" t="s">
        <v>190</v>
      </c>
      <c r="J8" s="96" t="s">
        <v>191</v>
      </c>
      <c r="K8" s="92" t="s">
        <v>190</v>
      </c>
      <c r="L8" s="97">
        <f t="shared" si="6"/>
        <v>3057000</v>
      </c>
      <c r="M8" s="98"/>
      <c r="N8" s="99" t="s">
        <v>192</v>
      </c>
      <c r="O8" s="99" t="s">
        <v>187</v>
      </c>
      <c r="P8" s="100">
        <v>0</v>
      </c>
      <c r="Q8" s="100">
        <v>0</v>
      </c>
      <c r="R8" s="100">
        <v>0</v>
      </c>
      <c r="S8" s="100"/>
      <c r="T8" s="100">
        <v>0</v>
      </c>
      <c r="U8" s="100"/>
      <c r="V8" s="100">
        <v>1557000</v>
      </c>
      <c r="W8" s="101">
        <v>1557000</v>
      </c>
      <c r="X8" s="100">
        <v>0</v>
      </c>
      <c r="Y8" s="100">
        <v>1500000</v>
      </c>
      <c r="Z8" s="100">
        <v>1500000</v>
      </c>
      <c r="AA8" s="97">
        <v>0</v>
      </c>
      <c r="AB8" s="97">
        <v>1500000</v>
      </c>
      <c r="AC8" s="97">
        <v>1500000</v>
      </c>
      <c r="AD8" s="97"/>
      <c r="AE8" s="97"/>
      <c r="AF8" s="97"/>
      <c r="AG8" s="97"/>
      <c r="AH8" s="97"/>
      <c r="AI8" s="97"/>
    </row>
    <row r="9" spans="1:35" ht="18.75" customHeight="1" x14ac:dyDescent="0.15">
      <c r="A9" s="92" t="s">
        <v>179</v>
      </c>
      <c r="B9" s="93">
        <v>11</v>
      </c>
      <c r="C9" s="94" t="s">
        <v>193</v>
      </c>
      <c r="D9" s="95" t="s">
        <v>194</v>
      </c>
      <c r="E9" s="93" t="s">
        <v>182</v>
      </c>
      <c r="F9" s="93" t="s">
        <v>144</v>
      </c>
      <c r="G9" s="93" t="s">
        <v>183</v>
      </c>
      <c r="H9" s="102" t="s">
        <v>195</v>
      </c>
      <c r="I9" s="93" t="s">
        <v>196</v>
      </c>
      <c r="J9" s="96" t="s">
        <v>197</v>
      </c>
      <c r="K9" s="93" t="s">
        <v>196</v>
      </c>
      <c r="L9" s="97">
        <f t="shared" si="6"/>
        <v>5752246</v>
      </c>
      <c r="M9" s="98">
        <f>3500000+2840626</f>
        <v>6340626</v>
      </c>
      <c r="N9" s="99" t="s">
        <v>186</v>
      </c>
      <c r="O9" s="99" t="s">
        <v>186</v>
      </c>
      <c r="P9" s="100">
        <v>0</v>
      </c>
      <c r="Q9" s="100">
        <v>3500000</v>
      </c>
      <c r="R9" s="100">
        <v>3500000</v>
      </c>
      <c r="S9" s="100">
        <f>M9-P9-R9</f>
        <v>2840626</v>
      </c>
      <c r="T9" s="100">
        <v>2841000</v>
      </c>
      <c r="U9" s="100">
        <v>0</v>
      </c>
      <c r="V9" s="100">
        <v>2252246</v>
      </c>
      <c r="W9" s="101">
        <v>2256070</v>
      </c>
      <c r="X9" s="103"/>
      <c r="Y9" s="103"/>
      <c r="Z9" s="103"/>
      <c r="AA9" s="104"/>
      <c r="AB9" s="104"/>
      <c r="AC9" s="104"/>
      <c r="AD9" s="104"/>
      <c r="AE9" s="104"/>
      <c r="AF9" s="104"/>
      <c r="AG9" s="104"/>
      <c r="AH9" s="104"/>
      <c r="AI9" s="104"/>
    </row>
    <row r="10" spans="1:35" ht="18.75" customHeight="1" x14ac:dyDescent="0.15">
      <c r="A10" s="92" t="s">
        <v>179</v>
      </c>
      <c r="B10" s="93">
        <v>11</v>
      </c>
      <c r="C10" s="94" t="s">
        <v>198</v>
      </c>
      <c r="D10" s="95" t="s">
        <v>199</v>
      </c>
      <c r="E10" s="93" t="s">
        <v>182</v>
      </c>
      <c r="F10" s="93" t="s">
        <v>144</v>
      </c>
      <c r="G10" s="93" t="s">
        <v>183</v>
      </c>
      <c r="H10" s="92">
        <v>2026</v>
      </c>
      <c r="I10" s="93" t="s">
        <v>200</v>
      </c>
      <c r="J10" s="96" t="s">
        <v>201</v>
      </c>
      <c r="K10" s="93" t="s">
        <v>200</v>
      </c>
      <c r="L10" s="100">
        <f t="shared" si="6"/>
        <v>19694000</v>
      </c>
      <c r="M10" s="98">
        <v>19694192</v>
      </c>
      <c r="N10" s="99" t="s">
        <v>186</v>
      </c>
      <c r="O10" s="99" t="s">
        <v>192</v>
      </c>
      <c r="P10" s="100">
        <v>0</v>
      </c>
      <c r="Q10" s="100">
        <v>6750000</v>
      </c>
      <c r="R10" s="100">
        <v>6750000</v>
      </c>
      <c r="S10" s="100">
        <f>M10-P10-R10</f>
        <v>12944192</v>
      </c>
      <c r="T10" s="100">
        <f>12944000-2944000-841000</f>
        <v>9159000</v>
      </c>
      <c r="U10" s="105">
        <v>9159000</v>
      </c>
      <c r="V10" s="106">
        <v>3785000</v>
      </c>
      <c r="W10" s="107">
        <v>3785000</v>
      </c>
      <c r="X10" s="103"/>
      <c r="Y10" s="103"/>
      <c r="Z10" s="103"/>
      <c r="AA10" s="104"/>
      <c r="AB10" s="104"/>
      <c r="AC10" s="104"/>
      <c r="AD10" s="104"/>
      <c r="AE10" s="104"/>
      <c r="AF10" s="104"/>
      <c r="AG10" s="104"/>
      <c r="AH10" s="104"/>
      <c r="AI10" s="104"/>
    </row>
    <row r="11" spans="1:35" ht="17.25" customHeight="1" x14ac:dyDescent="0.15">
      <c r="A11" s="108" t="s">
        <v>179</v>
      </c>
      <c r="B11" s="109">
        <v>11</v>
      </c>
      <c r="C11" s="94">
        <v>1011001</v>
      </c>
      <c r="D11" s="95" t="s">
        <v>181</v>
      </c>
      <c r="E11" s="109" t="s">
        <v>182</v>
      </c>
      <c r="F11" s="109" t="s">
        <v>144</v>
      </c>
      <c r="G11" s="109" t="s">
        <v>183</v>
      </c>
      <c r="H11" s="108" t="s">
        <v>202</v>
      </c>
      <c r="I11" s="93" t="s">
        <v>203</v>
      </c>
      <c r="J11" s="96" t="s">
        <v>204</v>
      </c>
      <c r="K11" s="93" t="s">
        <v>203</v>
      </c>
      <c r="L11" s="100">
        <f t="shared" si="6"/>
        <v>40000000</v>
      </c>
      <c r="M11" s="110"/>
      <c r="N11" s="99" t="s">
        <v>205</v>
      </c>
      <c r="O11" s="99" t="s">
        <v>187</v>
      </c>
      <c r="P11" s="100"/>
      <c r="Q11" s="100"/>
      <c r="R11" s="100"/>
      <c r="S11" s="100">
        <v>0</v>
      </c>
      <c r="T11" s="100">
        <v>0</v>
      </c>
      <c r="U11" s="100"/>
      <c r="V11" s="111">
        <v>20000000</v>
      </c>
      <c r="W11" s="112">
        <v>20000000</v>
      </c>
      <c r="X11" s="100">
        <v>20000000</v>
      </c>
      <c r="Y11" s="100"/>
      <c r="Z11" s="100"/>
      <c r="AA11" s="97">
        <v>20000000</v>
      </c>
      <c r="AB11" s="97"/>
      <c r="AC11" s="97"/>
      <c r="AD11" s="97"/>
      <c r="AE11" s="97"/>
      <c r="AF11" s="97"/>
      <c r="AG11" s="97"/>
      <c r="AH11" s="97"/>
      <c r="AI11" s="97"/>
    </row>
    <row r="12" spans="1:35" ht="15" customHeight="1" x14ac:dyDescent="0.15">
      <c r="A12" s="108" t="s">
        <v>179</v>
      </c>
      <c r="B12" s="109">
        <v>11</v>
      </c>
      <c r="C12" s="94">
        <v>1011001</v>
      </c>
      <c r="D12" s="95" t="s">
        <v>181</v>
      </c>
      <c r="E12" s="109" t="s">
        <v>182</v>
      </c>
      <c r="F12" s="109" t="s">
        <v>144</v>
      </c>
      <c r="G12" s="109" t="s">
        <v>183</v>
      </c>
      <c r="H12" s="108" t="s">
        <v>202</v>
      </c>
      <c r="I12" s="93" t="s">
        <v>206</v>
      </c>
      <c r="J12" s="96" t="s">
        <v>207</v>
      </c>
      <c r="K12" s="93" t="s">
        <v>206</v>
      </c>
      <c r="L12" s="100">
        <f t="shared" si="6"/>
        <v>1800000</v>
      </c>
      <c r="M12" s="111">
        <v>1800000</v>
      </c>
      <c r="N12" s="99" t="s">
        <v>205</v>
      </c>
      <c r="O12" s="99" t="s">
        <v>187</v>
      </c>
      <c r="P12" s="100"/>
      <c r="Q12" s="100"/>
      <c r="R12" s="100"/>
      <c r="S12" s="100"/>
      <c r="T12" s="100"/>
      <c r="U12" s="100"/>
      <c r="V12" s="111">
        <v>1800000</v>
      </c>
      <c r="W12" s="112">
        <v>1800000</v>
      </c>
      <c r="X12" s="100">
        <v>0</v>
      </c>
      <c r="Y12" s="100">
        <v>0</v>
      </c>
      <c r="Z12" s="100">
        <v>0</v>
      </c>
      <c r="AA12" s="97">
        <v>0</v>
      </c>
      <c r="AB12" s="97">
        <v>0</v>
      </c>
      <c r="AC12" s="97">
        <v>0</v>
      </c>
      <c r="AD12" s="97"/>
      <c r="AE12" s="97"/>
      <c r="AF12" s="97"/>
      <c r="AG12" s="97"/>
      <c r="AH12" s="97"/>
      <c r="AI12" s="97"/>
    </row>
    <row r="13" spans="1:35" ht="12" customHeight="1" x14ac:dyDescent="0.15">
      <c r="A13" s="92" t="s">
        <v>179</v>
      </c>
      <c r="B13" s="93">
        <v>11</v>
      </c>
      <c r="C13" s="113">
        <v>1011018</v>
      </c>
      <c r="D13" s="95" t="s">
        <v>208</v>
      </c>
      <c r="E13" s="93" t="s">
        <v>182</v>
      </c>
      <c r="F13" s="93" t="s">
        <v>144</v>
      </c>
      <c r="G13" s="93" t="s">
        <v>183</v>
      </c>
      <c r="H13" s="102" t="s">
        <v>209</v>
      </c>
      <c r="I13" s="93" t="s">
        <v>203</v>
      </c>
      <c r="J13" s="96" t="s">
        <v>210</v>
      </c>
      <c r="K13" s="93" t="s">
        <v>203</v>
      </c>
      <c r="L13" s="100">
        <f t="shared" si="6"/>
        <v>2950000</v>
      </c>
      <c r="M13" s="106">
        <v>2950000</v>
      </c>
      <c r="N13" s="99" t="s">
        <v>205</v>
      </c>
      <c r="O13" s="99" t="s">
        <v>205</v>
      </c>
      <c r="P13" s="100">
        <v>0</v>
      </c>
      <c r="Q13" s="100"/>
      <c r="R13" s="100"/>
      <c r="S13" s="100"/>
      <c r="T13" s="100"/>
      <c r="U13" s="100"/>
      <c r="V13" s="106">
        <v>2950000</v>
      </c>
      <c r="W13" s="107">
        <v>2950000</v>
      </c>
      <c r="X13" s="100">
        <v>0</v>
      </c>
      <c r="Y13" s="100">
        <v>0</v>
      </c>
      <c r="Z13" s="100">
        <v>0</v>
      </c>
      <c r="AA13" s="97">
        <v>0</v>
      </c>
      <c r="AB13" s="97">
        <v>0</v>
      </c>
      <c r="AC13" s="97">
        <v>0</v>
      </c>
      <c r="AD13" s="97">
        <v>0</v>
      </c>
      <c r="AE13" s="97">
        <v>0</v>
      </c>
      <c r="AF13" s="97">
        <v>0</v>
      </c>
      <c r="AG13" s="97">
        <v>0</v>
      </c>
      <c r="AH13" s="97">
        <v>0</v>
      </c>
      <c r="AI13" s="97">
        <v>0</v>
      </c>
    </row>
    <row r="14" spans="1:35" ht="12" customHeight="1" x14ac:dyDescent="0.15">
      <c r="A14" s="92" t="s">
        <v>179</v>
      </c>
      <c r="B14" s="93">
        <v>11</v>
      </c>
      <c r="C14" s="113">
        <v>1011133</v>
      </c>
      <c r="D14" s="114" t="s">
        <v>211</v>
      </c>
      <c r="E14" s="93" t="s">
        <v>182</v>
      </c>
      <c r="F14" s="93" t="s">
        <v>144</v>
      </c>
      <c r="G14" s="93" t="s">
        <v>183</v>
      </c>
      <c r="H14" s="102" t="s">
        <v>212</v>
      </c>
      <c r="I14" s="93" t="s">
        <v>203</v>
      </c>
      <c r="J14" s="96" t="s">
        <v>213</v>
      </c>
      <c r="K14" s="93" t="s">
        <v>203</v>
      </c>
      <c r="L14" s="100">
        <f t="shared" si="6"/>
        <v>2400000</v>
      </c>
      <c r="M14" s="106">
        <v>2400000</v>
      </c>
      <c r="N14" s="99" t="s">
        <v>205</v>
      </c>
      <c r="O14" s="99" t="s">
        <v>205</v>
      </c>
      <c r="P14" s="100">
        <v>0</v>
      </c>
      <c r="Q14" s="100"/>
      <c r="R14" s="100"/>
      <c r="S14" s="100"/>
      <c r="T14" s="100"/>
      <c r="U14" s="100"/>
      <c r="V14" s="106">
        <v>2400000</v>
      </c>
      <c r="W14" s="107">
        <v>2400000</v>
      </c>
      <c r="X14" s="100">
        <v>0</v>
      </c>
      <c r="Y14" s="100">
        <v>0</v>
      </c>
      <c r="Z14" s="100">
        <v>0</v>
      </c>
      <c r="AA14" s="97">
        <v>0</v>
      </c>
      <c r="AB14" s="97">
        <v>0</v>
      </c>
      <c r="AC14" s="97">
        <v>0</v>
      </c>
      <c r="AD14" s="97">
        <v>0</v>
      </c>
      <c r="AE14" s="97">
        <v>0</v>
      </c>
      <c r="AF14" s="97">
        <v>0</v>
      </c>
      <c r="AG14" s="97">
        <v>0</v>
      </c>
      <c r="AH14" s="97">
        <v>0</v>
      </c>
      <c r="AI14" s="97">
        <v>0</v>
      </c>
    </row>
    <row r="15" spans="1:35" ht="12" customHeight="1" x14ac:dyDescent="0.15">
      <c r="A15" s="92" t="s">
        <v>179</v>
      </c>
      <c r="B15" s="93">
        <v>11</v>
      </c>
      <c r="C15" s="113">
        <v>1011111</v>
      </c>
      <c r="D15" s="114" t="s">
        <v>214</v>
      </c>
      <c r="E15" s="93" t="s">
        <v>182</v>
      </c>
      <c r="F15" s="93" t="s">
        <v>144</v>
      </c>
      <c r="G15" s="93" t="s">
        <v>183</v>
      </c>
      <c r="H15" s="102" t="s">
        <v>215</v>
      </c>
      <c r="I15" s="93" t="s">
        <v>203</v>
      </c>
      <c r="J15" s="96" t="s">
        <v>216</v>
      </c>
      <c r="K15" s="93" t="s">
        <v>203</v>
      </c>
      <c r="L15" s="100">
        <f t="shared" si="6"/>
        <v>1903000</v>
      </c>
      <c r="M15" s="106">
        <v>1903000</v>
      </c>
      <c r="N15" s="99" t="s">
        <v>205</v>
      </c>
      <c r="O15" s="99" t="s">
        <v>205</v>
      </c>
      <c r="P15" s="100">
        <v>0</v>
      </c>
      <c r="Q15" s="100"/>
      <c r="R15" s="100"/>
      <c r="S15" s="100"/>
      <c r="T15" s="100"/>
      <c r="U15" s="100"/>
      <c r="V15" s="106">
        <v>1903000</v>
      </c>
      <c r="W15" s="107">
        <v>1903000</v>
      </c>
      <c r="X15" s="100">
        <v>0</v>
      </c>
      <c r="Y15" s="100">
        <v>0</v>
      </c>
      <c r="Z15" s="100">
        <v>0</v>
      </c>
      <c r="AA15" s="97">
        <v>0</v>
      </c>
      <c r="AB15" s="97">
        <v>0</v>
      </c>
      <c r="AC15" s="97">
        <v>0</v>
      </c>
      <c r="AD15" s="97">
        <v>0</v>
      </c>
      <c r="AE15" s="97">
        <v>0</v>
      </c>
      <c r="AF15" s="97">
        <v>0</v>
      </c>
      <c r="AG15" s="97">
        <v>0</v>
      </c>
      <c r="AH15" s="97">
        <v>0</v>
      </c>
      <c r="AI15" s="97">
        <v>0</v>
      </c>
    </row>
    <row r="16" spans="1:35" ht="12" customHeight="1" x14ac:dyDescent="0.15">
      <c r="A16" s="92" t="s">
        <v>179</v>
      </c>
      <c r="B16" s="93">
        <v>11</v>
      </c>
      <c r="C16" s="113">
        <v>1011088</v>
      </c>
      <c r="D16" s="114" t="s">
        <v>217</v>
      </c>
      <c r="E16" s="93" t="s">
        <v>182</v>
      </c>
      <c r="F16" s="93" t="s">
        <v>144</v>
      </c>
      <c r="G16" s="93" t="s">
        <v>183</v>
      </c>
      <c r="H16" s="102" t="s">
        <v>218</v>
      </c>
      <c r="I16" s="93" t="s">
        <v>203</v>
      </c>
      <c r="J16" s="96" t="s">
        <v>219</v>
      </c>
      <c r="K16" s="93" t="s">
        <v>203</v>
      </c>
      <c r="L16" s="100">
        <f t="shared" si="6"/>
        <v>2863521</v>
      </c>
      <c r="M16" s="106">
        <v>2863521</v>
      </c>
      <c r="N16" s="99" t="s">
        <v>205</v>
      </c>
      <c r="O16" s="99" t="s">
        <v>205</v>
      </c>
      <c r="P16" s="100">
        <v>0</v>
      </c>
      <c r="Q16" s="100"/>
      <c r="R16" s="100"/>
      <c r="S16" s="100"/>
      <c r="T16" s="100"/>
      <c r="U16" s="100"/>
      <c r="V16" s="106">
        <v>2863521</v>
      </c>
      <c r="W16" s="107">
        <v>2863521</v>
      </c>
      <c r="X16" s="100">
        <v>0</v>
      </c>
      <c r="Y16" s="100">
        <v>0</v>
      </c>
      <c r="Z16" s="100">
        <v>0</v>
      </c>
      <c r="AA16" s="97">
        <v>0</v>
      </c>
      <c r="AB16" s="97">
        <v>0</v>
      </c>
      <c r="AC16" s="97">
        <v>0</v>
      </c>
      <c r="AD16" s="97">
        <v>0</v>
      </c>
      <c r="AE16" s="97">
        <v>0</v>
      </c>
      <c r="AF16" s="97">
        <v>0</v>
      </c>
      <c r="AG16" s="97">
        <v>0</v>
      </c>
      <c r="AH16" s="97">
        <v>0</v>
      </c>
      <c r="AI16" s="97">
        <v>0</v>
      </c>
    </row>
    <row r="17" spans="1:35" ht="12" customHeight="1" x14ac:dyDescent="0.15">
      <c r="A17" s="92" t="s">
        <v>179</v>
      </c>
      <c r="B17" s="93">
        <v>11</v>
      </c>
      <c r="C17" s="115">
        <v>1011036</v>
      </c>
      <c r="D17" s="116" t="s">
        <v>220</v>
      </c>
      <c r="E17" s="93" t="s">
        <v>182</v>
      </c>
      <c r="F17" s="93" t="s">
        <v>144</v>
      </c>
      <c r="G17" s="93">
        <v>2310000</v>
      </c>
      <c r="H17" s="92">
        <v>3535</v>
      </c>
      <c r="I17" s="93" t="s">
        <v>203</v>
      </c>
      <c r="J17" s="117" t="s">
        <v>221</v>
      </c>
      <c r="K17" s="93" t="s">
        <v>203</v>
      </c>
      <c r="L17" s="100">
        <v>21255467</v>
      </c>
      <c r="M17" s="106">
        <v>10000000</v>
      </c>
      <c r="N17" s="99" t="s">
        <v>205</v>
      </c>
      <c r="O17" s="99" t="s">
        <v>205</v>
      </c>
      <c r="P17" s="100"/>
      <c r="Q17" s="100"/>
      <c r="R17" s="100"/>
      <c r="S17" s="100"/>
      <c r="T17" s="100"/>
      <c r="U17" s="100"/>
      <c r="V17" s="106">
        <v>10000000</v>
      </c>
      <c r="W17" s="112">
        <v>10000000</v>
      </c>
      <c r="X17" s="100">
        <v>0</v>
      </c>
      <c r="Y17" s="100">
        <v>0</v>
      </c>
      <c r="Z17" s="100">
        <v>0</v>
      </c>
      <c r="AA17" s="97">
        <v>0</v>
      </c>
      <c r="AB17" s="97">
        <v>0</v>
      </c>
      <c r="AC17" s="97">
        <v>0</v>
      </c>
      <c r="AD17" s="97">
        <v>0</v>
      </c>
      <c r="AE17" s="97">
        <v>0</v>
      </c>
      <c r="AF17" s="97">
        <v>0</v>
      </c>
      <c r="AG17" s="97">
        <v>0</v>
      </c>
      <c r="AH17" s="97">
        <v>0</v>
      </c>
      <c r="AI17" s="97">
        <v>0</v>
      </c>
    </row>
    <row r="18" spans="1:35" s="124" customFormat="1" ht="41.25" x14ac:dyDescent="0.15">
      <c r="A18" s="118" t="s">
        <v>177</v>
      </c>
      <c r="B18" s="119">
        <v>11</v>
      </c>
      <c r="C18" s="119"/>
      <c r="D18" s="120" t="s">
        <v>222</v>
      </c>
      <c r="E18" s="121"/>
      <c r="F18" s="121" t="s">
        <v>223</v>
      </c>
      <c r="G18" s="118"/>
      <c r="H18" s="121"/>
      <c r="I18" s="118"/>
      <c r="J18" s="120" t="s">
        <v>222</v>
      </c>
      <c r="K18" s="122" t="s">
        <v>223</v>
      </c>
      <c r="L18" s="80">
        <f>SUBTOTAL(9,L19:L53)</f>
        <v>7520691713</v>
      </c>
      <c r="M18" s="80">
        <f t="shared" ref="M18:U18" si="7">SUBTOTAL(9,M19:M53)</f>
        <v>2780417864</v>
      </c>
      <c r="N18" s="80">
        <f t="shared" si="7"/>
        <v>0</v>
      </c>
      <c r="O18" s="80">
        <f t="shared" si="7"/>
        <v>0</v>
      </c>
      <c r="P18" s="80">
        <f t="shared" si="7"/>
        <v>0</v>
      </c>
      <c r="Q18" s="80">
        <f t="shared" si="7"/>
        <v>404435540</v>
      </c>
      <c r="R18" s="80">
        <f t="shared" si="7"/>
        <v>288578302</v>
      </c>
      <c r="S18" s="80">
        <f t="shared" si="7"/>
        <v>644460865</v>
      </c>
      <c r="T18" s="80">
        <f t="shared" si="7"/>
        <v>974265370</v>
      </c>
      <c r="U18" s="80">
        <f t="shared" si="7"/>
        <v>770377155</v>
      </c>
      <c r="V18" s="80">
        <f t="shared" ref="V18:AI18" si="8">SUBTOTAL(9,V19:V53)</f>
        <v>1757947000</v>
      </c>
      <c r="W18" s="81">
        <f t="shared" si="8"/>
        <v>1757947000</v>
      </c>
      <c r="X18" s="80">
        <f t="shared" si="8"/>
        <v>1270000000</v>
      </c>
      <c r="Y18" s="80">
        <f t="shared" si="8"/>
        <v>1937000000</v>
      </c>
      <c r="Z18" s="80">
        <f t="shared" si="8"/>
        <v>1637000000</v>
      </c>
      <c r="AA18" s="123">
        <f t="shared" si="8"/>
        <v>1270000000</v>
      </c>
      <c r="AB18" s="123">
        <f t="shared" si="8"/>
        <v>1937000000</v>
      </c>
      <c r="AC18" s="123">
        <f t="shared" si="8"/>
        <v>1637000000</v>
      </c>
      <c r="AD18" s="123">
        <f t="shared" si="8"/>
        <v>0</v>
      </c>
      <c r="AE18" s="123">
        <f t="shared" si="8"/>
        <v>0</v>
      </c>
      <c r="AF18" s="123">
        <f t="shared" si="8"/>
        <v>0</v>
      </c>
      <c r="AG18" s="123">
        <f t="shared" si="8"/>
        <v>0</v>
      </c>
      <c r="AH18" s="123">
        <f t="shared" si="8"/>
        <v>0</v>
      </c>
      <c r="AI18" s="123">
        <f t="shared" si="8"/>
        <v>0</v>
      </c>
    </row>
    <row r="19" spans="1:35" s="124" customFormat="1" ht="30" customHeight="1" x14ac:dyDescent="0.15">
      <c r="A19" s="108" t="s">
        <v>179</v>
      </c>
      <c r="B19" s="109" t="s">
        <v>180</v>
      </c>
      <c r="C19" s="94">
        <v>1011001</v>
      </c>
      <c r="D19" s="95" t="s">
        <v>181</v>
      </c>
      <c r="E19" s="109" t="s">
        <v>182</v>
      </c>
      <c r="F19" s="109" t="s">
        <v>223</v>
      </c>
      <c r="G19" s="109">
        <v>2310000</v>
      </c>
      <c r="H19" s="108">
        <v>3535</v>
      </c>
      <c r="I19" s="125" t="s">
        <v>224</v>
      </c>
      <c r="J19" s="96" t="s">
        <v>225</v>
      </c>
      <c r="K19" s="125" t="s">
        <v>224</v>
      </c>
      <c r="L19" s="97">
        <f>V19+X19+Y19+Z19</f>
        <v>3311000000</v>
      </c>
      <c r="M19" s="100">
        <v>240000000</v>
      </c>
      <c r="N19" s="99" t="s">
        <v>205</v>
      </c>
      <c r="O19" s="99" t="s">
        <v>187</v>
      </c>
      <c r="P19" s="100">
        <v>0</v>
      </c>
      <c r="Q19" s="100">
        <v>15210744</v>
      </c>
      <c r="R19" s="100">
        <v>15210744</v>
      </c>
      <c r="S19" s="100"/>
      <c r="T19" s="126">
        <f>165076000-100000000</f>
        <v>65076000</v>
      </c>
      <c r="U19" s="81"/>
      <c r="V19" s="100">
        <f>267000000</f>
        <v>267000000</v>
      </c>
      <c r="W19" s="100">
        <f>398396810+27000000</f>
        <v>425396810</v>
      </c>
      <c r="X19" s="100">
        <f>580000000</f>
        <v>580000000</v>
      </c>
      <c r="Y19" s="100">
        <v>1317000000</v>
      </c>
      <c r="Z19" s="100">
        <v>1147000000</v>
      </c>
      <c r="AA19" s="97">
        <f>580000000</f>
        <v>580000000</v>
      </c>
      <c r="AB19" s="97">
        <v>1317000000</v>
      </c>
      <c r="AC19" s="97">
        <v>1147000000</v>
      </c>
      <c r="AD19" s="97"/>
      <c r="AE19" s="97"/>
      <c r="AF19" s="97"/>
      <c r="AG19" s="97"/>
      <c r="AH19" s="97"/>
      <c r="AI19" s="97"/>
    </row>
    <row r="20" spans="1:35" s="124" customFormat="1" ht="33" x14ac:dyDescent="0.15">
      <c r="A20" s="108" t="s">
        <v>179</v>
      </c>
      <c r="B20" s="109" t="s">
        <v>180</v>
      </c>
      <c r="C20" s="94">
        <v>1011001</v>
      </c>
      <c r="D20" s="95" t="s">
        <v>181</v>
      </c>
      <c r="E20" s="109" t="s">
        <v>182</v>
      </c>
      <c r="F20" s="109" t="s">
        <v>223</v>
      </c>
      <c r="G20" s="109">
        <v>2310000</v>
      </c>
      <c r="H20" s="108">
        <v>3535</v>
      </c>
      <c r="I20" s="125" t="s">
        <v>226</v>
      </c>
      <c r="J20" s="96" t="s">
        <v>227</v>
      </c>
      <c r="K20" s="125" t="s">
        <v>226</v>
      </c>
      <c r="L20" s="97">
        <f t="shared" ref="L20:L25" si="9">V20+X20+Y20+Z20</f>
        <v>1506550414</v>
      </c>
      <c r="M20" s="100">
        <f>250000000+43436249+19574317-6460152</f>
        <v>306550414</v>
      </c>
      <c r="N20" s="99" t="s">
        <v>205</v>
      </c>
      <c r="O20" s="99" t="s">
        <v>187</v>
      </c>
      <c r="P20" s="100">
        <v>0</v>
      </c>
      <c r="Q20" s="100">
        <v>0</v>
      </c>
      <c r="R20" s="100">
        <v>0</v>
      </c>
      <c r="S20" s="100"/>
      <c r="T20" s="81">
        <f>430232000+59000000-2400000+40000000-514515476-12000000</f>
        <v>316524</v>
      </c>
      <c r="U20" s="81"/>
      <c r="V20" s="100">
        <f>250000000+43436249+19574317-6460152</f>
        <v>306550414</v>
      </c>
      <c r="W20" s="100">
        <v>150000000</v>
      </c>
      <c r="X20" s="100">
        <v>400000000</v>
      </c>
      <c r="Y20" s="100">
        <v>400000000</v>
      </c>
      <c r="Z20" s="100">
        <v>400000000</v>
      </c>
      <c r="AA20" s="97">
        <v>400000000</v>
      </c>
      <c r="AB20" s="97">
        <v>400000000</v>
      </c>
      <c r="AC20" s="97">
        <v>400000000</v>
      </c>
      <c r="AD20" s="97"/>
      <c r="AE20" s="97"/>
      <c r="AF20" s="97"/>
      <c r="AG20" s="97"/>
      <c r="AH20" s="97"/>
      <c r="AI20" s="97"/>
    </row>
    <row r="21" spans="1:35" ht="11.45" customHeight="1" x14ac:dyDescent="0.15">
      <c r="A21" s="108" t="s">
        <v>179</v>
      </c>
      <c r="B21" s="109" t="s">
        <v>180</v>
      </c>
      <c r="C21" s="94">
        <v>1011001</v>
      </c>
      <c r="D21" s="95" t="s">
        <v>181</v>
      </c>
      <c r="E21" s="109" t="s">
        <v>182</v>
      </c>
      <c r="F21" s="109" t="s">
        <v>223</v>
      </c>
      <c r="G21" s="109">
        <v>2310000</v>
      </c>
      <c r="H21" s="108">
        <v>3535</v>
      </c>
      <c r="I21" s="93" t="s">
        <v>188</v>
      </c>
      <c r="J21" s="96" t="s">
        <v>189</v>
      </c>
      <c r="K21" s="93" t="s">
        <v>188</v>
      </c>
      <c r="L21" s="97">
        <f t="shared" si="9"/>
        <v>280000000</v>
      </c>
      <c r="M21" s="100">
        <v>80000000</v>
      </c>
      <c r="N21" s="99" t="s">
        <v>205</v>
      </c>
      <c r="O21" s="99" t="s">
        <v>187</v>
      </c>
      <c r="P21" s="100"/>
      <c r="Q21" s="100"/>
      <c r="R21" s="100"/>
      <c r="S21" s="100"/>
      <c r="T21" s="100"/>
      <c r="U21" s="100"/>
      <c r="V21" s="100">
        <v>80000000</v>
      </c>
      <c r="W21" s="101">
        <v>80000000</v>
      </c>
      <c r="X21" s="101">
        <v>100000000</v>
      </c>
      <c r="Y21" s="101">
        <v>100000000</v>
      </c>
      <c r="Z21" s="100">
        <v>0</v>
      </c>
      <c r="AA21" s="127">
        <v>100000000</v>
      </c>
      <c r="AB21" s="127">
        <v>100000000</v>
      </c>
      <c r="AC21" s="97">
        <v>0</v>
      </c>
      <c r="AD21" s="127"/>
      <c r="AE21" s="127"/>
      <c r="AF21" s="97"/>
      <c r="AG21" s="127"/>
      <c r="AH21" s="127"/>
      <c r="AI21" s="97"/>
    </row>
    <row r="22" spans="1:35" ht="11.45" customHeight="1" x14ac:dyDescent="0.15">
      <c r="A22" s="92" t="s">
        <v>179</v>
      </c>
      <c r="B22" s="93" t="s">
        <v>180</v>
      </c>
      <c r="C22" s="94">
        <v>1011001</v>
      </c>
      <c r="D22" s="95" t="s">
        <v>181</v>
      </c>
      <c r="E22" s="93" t="s">
        <v>182</v>
      </c>
      <c r="F22" s="93" t="s">
        <v>223</v>
      </c>
      <c r="G22" s="93">
        <v>2310000</v>
      </c>
      <c r="H22" s="92">
        <v>3535</v>
      </c>
      <c r="I22" s="93" t="s">
        <v>228</v>
      </c>
      <c r="J22" s="96" t="s">
        <v>229</v>
      </c>
      <c r="K22" s="93" t="s">
        <v>228</v>
      </c>
      <c r="L22" s="97">
        <f t="shared" si="9"/>
        <v>270000000</v>
      </c>
      <c r="M22" s="100">
        <v>60000000</v>
      </c>
      <c r="N22" s="99" t="s">
        <v>205</v>
      </c>
      <c r="O22" s="99" t="s">
        <v>187</v>
      </c>
      <c r="P22" s="100">
        <v>0</v>
      </c>
      <c r="Q22" s="100">
        <v>75000000</v>
      </c>
      <c r="R22" s="100">
        <v>75000000</v>
      </c>
      <c r="S22" s="100"/>
      <c r="T22" s="100">
        <v>50000000</v>
      </c>
      <c r="U22" s="100"/>
      <c r="V22" s="100">
        <v>60000000</v>
      </c>
      <c r="W22" s="101">
        <v>60000000</v>
      </c>
      <c r="X22" s="100">
        <v>50000000</v>
      </c>
      <c r="Y22" s="100">
        <v>80000000</v>
      </c>
      <c r="Z22" s="100">
        <v>80000000</v>
      </c>
      <c r="AA22" s="97">
        <v>50000000</v>
      </c>
      <c r="AB22" s="97">
        <v>80000000</v>
      </c>
      <c r="AC22" s="97">
        <v>80000000</v>
      </c>
      <c r="AD22" s="97"/>
      <c r="AE22" s="97"/>
      <c r="AF22" s="97"/>
      <c r="AG22" s="97"/>
      <c r="AH22" s="97"/>
      <c r="AI22" s="97"/>
    </row>
    <row r="23" spans="1:35" ht="11.45" customHeight="1" x14ac:dyDescent="0.15">
      <c r="A23" s="92" t="s">
        <v>179</v>
      </c>
      <c r="B23" s="93" t="s">
        <v>180</v>
      </c>
      <c r="C23" s="94">
        <v>1011001</v>
      </c>
      <c r="D23" s="95" t="s">
        <v>181</v>
      </c>
      <c r="E23" s="93" t="s">
        <v>182</v>
      </c>
      <c r="F23" s="93" t="s">
        <v>223</v>
      </c>
      <c r="G23" s="93">
        <v>2310000</v>
      </c>
      <c r="H23" s="92" t="s">
        <v>202</v>
      </c>
      <c r="I23" s="93" t="s">
        <v>230</v>
      </c>
      <c r="J23" s="96" t="s">
        <v>231</v>
      </c>
      <c r="K23" s="93" t="s">
        <v>230</v>
      </c>
      <c r="L23" s="97">
        <f t="shared" si="9"/>
        <v>33000000</v>
      </c>
      <c r="M23" s="100">
        <v>3000000</v>
      </c>
      <c r="N23" s="99" t="s">
        <v>205</v>
      </c>
      <c r="O23" s="99" t="s">
        <v>187</v>
      </c>
      <c r="P23" s="100">
        <v>0</v>
      </c>
      <c r="Q23" s="100">
        <v>10000000</v>
      </c>
      <c r="R23" s="100">
        <v>10000000</v>
      </c>
      <c r="S23" s="100"/>
      <c r="T23" s="100">
        <v>0</v>
      </c>
      <c r="U23" s="100"/>
      <c r="V23" s="100">
        <v>3000000</v>
      </c>
      <c r="W23" s="101">
        <v>10000000</v>
      </c>
      <c r="X23" s="100">
        <v>10000000</v>
      </c>
      <c r="Y23" s="100">
        <v>10000000</v>
      </c>
      <c r="Z23" s="100">
        <v>10000000</v>
      </c>
      <c r="AA23" s="97">
        <v>10000000</v>
      </c>
      <c r="AB23" s="97">
        <v>10000000</v>
      </c>
      <c r="AC23" s="97">
        <v>10000000</v>
      </c>
      <c r="AD23" s="97"/>
      <c r="AE23" s="97"/>
      <c r="AF23" s="97"/>
      <c r="AG23" s="97"/>
      <c r="AH23" s="97"/>
      <c r="AI23" s="97"/>
    </row>
    <row r="24" spans="1:35" ht="14.25" customHeight="1" x14ac:dyDescent="0.15">
      <c r="A24" s="92" t="s">
        <v>179</v>
      </c>
      <c r="B24" s="93" t="s">
        <v>180</v>
      </c>
      <c r="C24" s="94">
        <v>1011001</v>
      </c>
      <c r="D24" s="95" t="s">
        <v>181</v>
      </c>
      <c r="E24" s="93" t="s">
        <v>182</v>
      </c>
      <c r="F24" s="93" t="s">
        <v>223</v>
      </c>
      <c r="G24" s="93" t="s">
        <v>183</v>
      </c>
      <c r="H24" s="92">
        <v>3535</v>
      </c>
      <c r="I24" s="93" t="s">
        <v>232</v>
      </c>
      <c r="J24" s="96" t="s">
        <v>233</v>
      </c>
      <c r="K24" s="93" t="s">
        <v>232</v>
      </c>
      <c r="L24" s="97">
        <f t="shared" si="9"/>
        <v>100000000</v>
      </c>
      <c r="M24" s="100">
        <v>40000000</v>
      </c>
      <c r="N24" s="99" t="s">
        <v>205</v>
      </c>
      <c r="O24" s="99" t="s">
        <v>187</v>
      </c>
      <c r="P24" s="100">
        <v>0</v>
      </c>
      <c r="Q24" s="100">
        <v>40000000</v>
      </c>
      <c r="R24" s="100">
        <v>40000000</v>
      </c>
      <c r="S24" s="100"/>
      <c r="T24" s="100">
        <v>0</v>
      </c>
      <c r="U24" s="100"/>
      <c r="V24" s="100">
        <v>40000000</v>
      </c>
      <c r="W24" s="101">
        <v>40000000</v>
      </c>
      <c r="X24" s="101">
        <v>30000000</v>
      </c>
      <c r="Y24" s="101">
        <v>30000000</v>
      </c>
      <c r="Z24" s="100">
        <v>0</v>
      </c>
      <c r="AA24" s="127">
        <v>30000000</v>
      </c>
      <c r="AB24" s="127">
        <v>30000000</v>
      </c>
      <c r="AC24" s="97"/>
      <c r="AD24" s="127"/>
      <c r="AE24" s="127"/>
      <c r="AF24" s="97"/>
      <c r="AG24" s="127"/>
      <c r="AH24" s="127"/>
      <c r="AI24" s="97"/>
    </row>
    <row r="25" spans="1:35" ht="12.6" customHeight="1" x14ac:dyDescent="0.15">
      <c r="A25" s="92"/>
      <c r="B25" s="93" t="s">
        <v>180</v>
      </c>
      <c r="C25" s="94">
        <v>1011001</v>
      </c>
      <c r="D25" s="95" t="s">
        <v>181</v>
      </c>
      <c r="E25" s="93" t="s">
        <v>182</v>
      </c>
      <c r="F25" s="93" t="s">
        <v>223</v>
      </c>
      <c r="G25" s="93" t="s">
        <v>183</v>
      </c>
      <c r="H25" s="92">
        <v>3535</v>
      </c>
      <c r="I25" s="93" t="s">
        <v>234</v>
      </c>
      <c r="J25" s="117" t="s">
        <v>235</v>
      </c>
      <c r="K25" s="93" t="s">
        <v>234</v>
      </c>
      <c r="L25" s="97">
        <f t="shared" si="9"/>
        <v>30000000</v>
      </c>
      <c r="M25" s="100">
        <v>30000000</v>
      </c>
      <c r="N25" s="99" t="s">
        <v>205</v>
      </c>
      <c r="O25" s="99" t="s">
        <v>205</v>
      </c>
      <c r="P25" s="100"/>
      <c r="Q25" s="100"/>
      <c r="R25" s="100"/>
      <c r="S25" s="100"/>
      <c r="T25" s="100"/>
      <c r="U25" s="100"/>
      <c r="V25" s="100">
        <v>30000000</v>
      </c>
      <c r="W25" s="101">
        <v>30000000</v>
      </c>
      <c r="X25" s="100"/>
      <c r="Y25" s="100"/>
      <c r="Z25" s="100"/>
      <c r="AA25" s="97"/>
      <c r="AB25" s="97"/>
      <c r="AC25" s="97"/>
      <c r="AD25" s="97"/>
      <c r="AE25" s="97"/>
      <c r="AF25" s="97"/>
      <c r="AG25" s="97"/>
      <c r="AH25" s="97"/>
      <c r="AI25" s="97"/>
    </row>
    <row r="26" spans="1:35" ht="16.5" x14ac:dyDescent="0.15">
      <c r="A26" s="128" t="s">
        <v>236</v>
      </c>
      <c r="B26" s="129" t="s">
        <v>180</v>
      </c>
      <c r="C26" s="128" t="s">
        <v>237</v>
      </c>
      <c r="D26" s="130" t="s">
        <v>238</v>
      </c>
      <c r="E26" s="131" t="s">
        <v>182</v>
      </c>
      <c r="F26" s="132" t="s">
        <v>223</v>
      </c>
      <c r="G26" s="133">
        <v>2310000</v>
      </c>
      <c r="H26" s="134" t="s">
        <v>218</v>
      </c>
      <c r="I26" s="135" t="s">
        <v>239</v>
      </c>
      <c r="J26" s="136" t="s">
        <v>240</v>
      </c>
      <c r="K26" s="135" t="s">
        <v>239</v>
      </c>
      <c r="L26" s="100">
        <f t="shared" ref="L26:L53" si="10">P26+R26+U26+V26+X26+Y26+Z26</f>
        <v>21963807</v>
      </c>
      <c r="M26" s="98">
        <v>21963807</v>
      </c>
      <c r="N26" s="99" t="s">
        <v>192</v>
      </c>
      <c r="O26" s="99" t="s">
        <v>205</v>
      </c>
      <c r="P26" s="100"/>
      <c r="Q26" s="100"/>
      <c r="R26" s="100"/>
      <c r="S26" s="100"/>
      <c r="T26" s="137">
        <v>11155865</v>
      </c>
      <c r="U26" s="137">
        <v>11155865</v>
      </c>
      <c r="V26" s="100">
        <f t="shared" ref="V26:V47" si="11">M26-P26-R26-U26</f>
        <v>10807942</v>
      </c>
      <c r="W26" s="100">
        <v>10807942</v>
      </c>
      <c r="X26" s="100"/>
      <c r="Y26" s="100"/>
      <c r="Z26" s="100"/>
      <c r="AA26" s="97"/>
      <c r="AB26" s="97"/>
      <c r="AC26" s="97"/>
      <c r="AD26" s="97"/>
      <c r="AE26" s="97"/>
      <c r="AF26" s="97"/>
      <c r="AG26" s="97"/>
      <c r="AH26" s="97"/>
      <c r="AI26" s="97"/>
    </row>
    <row r="27" spans="1:35" ht="16.5" x14ac:dyDescent="0.15">
      <c r="A27" s="131" t="s">
        <v>241</v>
      </c>
      <c r="B27" s="129" t="s">
        <v>180</v>
      </c>
      <c r="C27" s="138">
        <v>2139001</v>
      </c>
      <c r="D27" s="130" t="s">
        <v>242</v>
      </c>
      <c r="E27" s="131" t="s">
        <v>182</v>
      </c>
      <c r="F27" s="132" t="s">
        <v>223</v>
      </c>
      <c r="G27" s="133">
        <v>2310000</v>
      </c>
      <c r="H27" s="134" t="s">
        <v>243</v>
      </c>
      <c r="I27" s="135" t="s">
        <v>244</v>
      </c>
      <c r="J27" s="139" t="s">
        <v>245</v>
      </c>
      <c r="K27" s="135" t="s">
        <v>244</v>
      </c>
      <c r="L27" s="100">
        <f t="shared" si="10"/>
        <v>63336197</v>
      </c>
      <c r="M27" s="98">
        <v>63336197</v>
      </c>
      <c r="N27" s="99" t="s">
        <v>192</v>
      </c>
      <c r="O27" s="99" t="s">
        <v>205</v>
      </c>
      <c r="P27" s="100"/>
      <c r="Q27" s="100"/>
      <c r="R27" s="100"/>
      <c r="S27" s="100"/>
      <c r="T27" s="137">
        <v>53359056</v>
      </c>
      <c r="U27" s="137">
        <v>53359056</v>
      </c>
      <c r="V27" s="100">
        <f t="shared" si="11"/>
        <v>9977141</v>
      </c>
      <c r="W27" s="100">
        <v>9977141</v>
      </c>
      <c r="X27" s="100">
        <v>0</v>
      </c>
      <c r="Y27" s="100">
        <v>0</v>
      </c>
      <c r="Z27" s="100">
        <v>0</v>
      </c>
      <c r="AA27" s="97">
        <v>0</v>
      </c>
      <c r="AB27" s="97">
        <v>0</v>
      </c>
      <c r="AC27" s="97">
        <v>0</v>
      </c>
      <c r="AD27" s="97"/>
      <c r="AE27" s="97"/>
      <c r="AF27" s="97"/>
      <c r="AG27" s="97"/>
      <c r="AH27" s="97"/>
      <c r="AI27" s="97"/>
    </row>
    <row r="28" spans="1:35" x14ac:dyDescent="0.15">
      <c r="A28" s="131" t="s">
        <v>246</v>
      </c>
      <c r="B28" s="129" t="s">
        <v>180</v>
      </c>
      <c r="C28" s="128" t="s">
        <v>247</v>
      </c>
      <c r="D28" s="130" t="s">
        <v>248</v>
      </c>
      <c r="E28" s="131" t="s">
        <v>182</v>
      </c>
      <c r="F28" s="132" t="s">
        <v>223</v>
      </c>
      <c r="G28" s="133">
        <v>2310000</v>
      </c>
      <c r="H28" s="134" t="s">
        <v>249</v>
      </c>
      <c r="I28" s="135" t="s">
        <v>250</v>
      </c>
      <c r="J28" s="140" t="s">
        <v>251</v>
      </c>
      <c r="K28" s="135" t="s">
        <v>250</v>
      </c>
      <c r="L28" s="100">
        <f t="shared" si="10"/>
        <v>73896936</v>
      </c>
      <c r="M28" s="98">
        <v>73896936</v>
      </c>
      <c r="N28" s="99" t="s">
        <v>192</v>
      </c>
      <c r="O28" s="99" t="s">
        <v>205</v>
      </c>
      <c r="P28" s="100"/>
      <c r="Q28" s="100"/>
      <c r="R28" s="100"/>
      <c r="S28" s="100"/>
      <c r="T28" s="137">
        <v>29673279</v>
      </c>
      <c r="U28" s="137">
        <v>29500008</v>
      </c>
      <c r="V28" s="100">
        <f t="shared" si="11"/>
        <v>44396928</v>
      </c>
      <c r="W28" s="100">
        <v>44396928</v>
      </c>
      <c r="X28" s="100"/>
      <c r="Y28" s="100"/>
      <c r="Z28" s="100"/>
      <c r="AA28" s="97"/>
      <c r="AB28" s="97"/>
      <c r="AC28" s="97"/>
      <c r="AD28" s="97"/>
      <c r="AE28" s="97"/>
      <c r="AF28" s="97"/>
      <c r="AG28" s="97"/>
      <c r="AH28" s="97"/>
      <c r="AI28" s="97"/>
    </row>
    <row r="29" spans="1:35" ht="16.5" x14ac:dyDescent="0.15">
      <c r="A29" s="141">
        <v>654</v>
      </c>
      <c r="B29" s="129" t="s">
        <v>180</v>
      </c>
      <c r="C29" s="142">
        <v>2654001</v>
      </c>
      <c r="D29" s="130" t="s">
        <v>252</v>
      </c>
      <c r="E29" s="131" t="s">
        <v>182</v>
      </c>
      <c r="F29" s="132" t="s">
        <v>223</v>
      </c>
      <c r="G29" s="133">
        <v>2310000</v>
      </c>
      <c r="H29" s="134" t="s">
        <v>249</v>
      </c>
      <c r="I29" s="135" t="s">
        <v>253</v>
      </c>
      <c r="J29" s="136" t="s">
        <v>254</v>
      </c>
      <c r="K29" s="135" t="s">
        <v>253</v>
      </c>
      <c r="L29" s="100">
        <f t="shared" si="10"/>
        <v>61386712</v>
      </c>
      <c r="M29" s="98">
        <v>61386712</v>
      </c>
      <c r="N29" s="99" t="s">
        <v>192</v>
      </c>
      <c r="O29" s="99" t="s">
        <v>205</v>
      </c>
      <c r="P29" s="100"/>
      <c r="Q29" s="100"/>
      <c r="R29" s="100"/>
      <c r="S29" s="100"/>
      <c r="T29" s="137">
        <v>44577405</v>
      </c>
      <c r="U29" s="137">
        <v>44577405</v>
      </c>
      <c r="V29" s="100">
        <f t="shared" si="11"/>
        <v>16809307</v>
      </c>
      <c r="W29" s="100">
        <v>16809307</v>
      </c>
      <c r="X29" s="100"/>
      <c r="Y29" s="100"/>
      <c r="Z29" s="100"/>
      <c r="AA29" s="97"/>
      <c r="AB29" s="97"/>
      <c r="AC29" s="97"/>
      <c r="AD29" s="97"/>
      <c r="AE29" s="97"/>
      <c r="AF29" s="97"/>
      <c r="AG29" s="97"/>
      <c r="AH29" s="97"/>
      <c r="AI29" s="97"/>
    </row>
    <row r="30" spans="1:35" ht="24.75" x14ac:dyDescent="0.15">
      <c r="A30" s="141">
        <v>107</v>
      </c>
      <c r="B30" s="129" t="s">
        <v>180</v>
      </c>
      <c r="C30" s="142">
        <v>2107001</v>
      </c>
      <c r="D30" s="130" t="s">
        <v>255</v>
      </c>
      <c r="E30" s="131" t="s">
        <v>182</v>
      </c>
      <c r="F30" s="143" t="s">
        <v>223</v>
      </c>
      <c r="G30" s="133">
        <v>2310000</v>
      </c>
      <c r="H30" s="144" t="s">
        <v>256</v>
      </c>
      <c r="I30" s="135" t="s">
        <v>257</v>
      </c>
      <c r="J30" s="145" t="s">
        <v>258</v>
      </c>
      <c r="K30" s="135" t="s">
        <v>257</v>
      </c>
      <c r="L30" s="100">
        <f t="shared" si="10"/>
        <v>78873288</v>
      </c>
      <c r="M30" s="98">
        <v>78873288</v>
      </c>
      <c r="N30" s="99" t="s">
        <v>192</v>
      </c>
      <c r="O30" s="99" t="s">
        <v>205</v>
      </c>
      <c r="P30" s="100"/>
      <c r="Q30" s="100"/>
      <c r="R30" s="100"/>
      <c r="S30" s="100"/>
      <c r="T30" s="146">
        <f>43312400-10000000</f>
        <v>33312400</v>
      </c>
      <c r="U30" s="146">
        <v>33312130</v>
      </c>
      <c r="V30" s="100">
        <f t="shared" si="11"/>
        <v>45561158</v>
      </c>
      <c r="W30" s="100">
        <v>45561158</v>
      </c>
      <c r="X30" s="100"/>
      <c r="Y30" s="100"/>
      <c r="Z30" s="100"/>
      <c r="AA30" s="97"/>
      <c r="AB30" s="97"/>
      <c r="AC30" s="97"/>
      <c r="AD30" s="97"/>
      <c r="AE30" s="97"/>
      <c r="AF30" s="97"/>
      <c r="AG30" s="97"/>
      <c r="AH30" s="97"/>
      <c r="AI30" s="97"/>
    </row>
    <row r="31" spans="1:35" ht="24.75" x14ac:dyDescent="0.15">
      <c r="A31" s="128" t="s">
        <v>259</v>
      </c>
      <c r="B31" s="129" t="s">
        <v>180</v>
      </c>
      <c r="C31" s="128" t="s">
        <v>260</v>
      </c>
      <c r="D31" s="130" t="s">
        <v>261</v>
      </c>
      <c r="E31" s="131" t="s">
        <v>182</v>
      </c>
      <c r="F31" s="143" t="s">
        <v>223</v>
      </c>
      <c r="G31" s="133">
        <v>2310000</v>
      </c>
      <c r="H31" s="147" t="s">
        <v>262</v>
      </c>
      <c r="I31" s="135" t="s">
        <v>263</v>
      </c>
      <c r="J31" s="140" t="s">
        <v>264</v>
      </c>
      <c r="K31" s="135" t="s">
        <v>263</v>
      </c>
      <c r="L31" s="100">
        <f t="shared" si="10"/>
        <v>44769284</v>
      </c>
      <c r="M31" s="98">
        <v>44769284</v>
      </c>
      <c r="N31" s="99" t="s">
        <v>192</v>
      </c>
      <c r="O31" s="99" t="s">
        <v>205</v>
      </c>
      <c r="P31" s="100"/>
      <c r="Q31" s="100"/>
      <c r="R31" s="100"/>
      <c r="S31" s="100"/>
      <c r="T31" s="137">
        <v>22965320</v>
      </c>
      <c r="U31" s="137">
        <v>22965320</v>
      </c>
      <c r="V31" s="100">
        <f t="shared" si="11"/>
        <v>21803964</v>
      </c>
      <c r="W31" s="100">
        <v>21803964</v>
      </c>
      <c r="X31" s="100"/>
      <c r="Y31" s="100"/>
      <c r="Z31" s="100"/>
      <c r="AA31" s="97"/>
      <c r="AB31" s="97"/>
      <c r="AC31" s="97"/>
      <c r="AD31" s="97"/>
      <c r="AE31" s="97"/>
      <c r="AF31" s="97"/>
      <c r="AG31" s="97"/>
      <c r="AH31" s="97"/>
      <c r="AI31" s="97"/>
    </row>
    <row r="32" spans="1:35" ht="24.75" x14ac:dyDescent="0.15">
      <c r="A32" s="128" t="s">
        <v>265</v>
      </c>
      <c r="B32" s="129" t="s">
        <v>180</v>
      </c>
      <c r="C32" s="148">
        <v>2134001</v>
      </c>
      <c r="D32" s="130" t="s">
        <v>266</v>
      </c>
      <c r="E32" s="131" t="s">
        <v>182</v>
      </c>
      <c r="F32" s="143" t="s">
        <v>223</v>
      </c>
      <c r="G32" s="133">
        <v>2310000</v>
      </c>
      <c r="H32" s="144" t="s">
        <v>267</v>
      </c>
      <c r="I32" s="135" t="s">
        <v>268</v>
      </c>
      <c r="J32" s="145" t="s">
        <v>269</v>
      </c>
      <c r="K32" s="135" t="s">
        <v>268</v>
      </c>
      <c r="L32" s="100">
        <f t="shared" si="10"/>
        <v>59641752</v>
      </c>
      <c r="M32" s="98">
        <v>59641752</v>
      </c>
      <c r="N32" s="99" t="s">
        <v>192</v>
      </c>
      <c r="O32" s="99" t="s">
        <v>205</v>
      </c>
      <c r="P32" s="100"/>
      <c r="Q32" s="100"/>
      <c r="R32" s="100"/>
      <c r="S32" s="100"/>
      <c r="T32" s="137">
        <v>33955200</v>
      </c>
      <c r="U32" s="137">
        <v>33955200</v>
      </c>
      <c r="V32" s="100">
        <f t="shared" si="11"/>
        <v>25686552</v>
      </c>
      <c r="W32" s="100">
        <v>25686552</v>
      </c>
      <c r="X32" s="100"/>
      <c r="Y32" s="100"/>
      <c r="Z32" s="100"/>
      <c r="AA32" s="97"/>
      <c r="AB32" s="97"/>
      <c r="AC32" s="97"/>
      <c r="AD32" s="97"/>
      <c r="AE32" s="97"/>
      <c r="AF32" s="97"/>
      <c r="AG32" s="97"/>
      <c r="AH32" s="97"/>
      <c r="AI32" s="97"/>
    </row>
    <row r="33" spans="1:35" ht="24.75" x14ac:dyDescent="0.15">
      <c r="A33" s="141">
        <v>153</v>
      </c>
      <c r="B33" s="129" t="s">
        <v>180</v>
      </c>
      <c r="C33" s="142">
        <v>2153001</v>
      </c>
      <c r="D33" s="130" t="s">
        <v>270</v>
      </c>
      <c r="E33" s="131" t="s">
        <v>182</v>
      </c>
      <c r="F33" s="149" t="s">
        <v>223</v>
      </c>
      <c r="G33" s="133">
        <v>2310000</v>
      </c>
      <c r="H33" s="144" t="s">
        <v>271</v>
      </c>
      <c r="I33" s="135" t="s">
        <v>272</v>
      </c>
      <c r="J33" s="145" t="s">
        <v>273</v>
      </c>
      <c r="K33" s="135" t="s">
        <v>272</v>
      </c>
      <c r="L33" s="100">
        <f t="shared" si="10"/>
        <v>44088200</v>
      </c>
      <c r="M33" s="98">
        <v>44088200</v>
      </c>
      <c r="N33" s="99" t="s">
        <v>192</v>
      </c>
      <c r="O33" s="99" t="s">
        <v>205</v>
      </c>
      <c r="P33" s="100"/>
      <c r="Q33" s="100"/>
      <c r="R33" s="100"/>
      <c r="S33" s="100"/>
      <c r="T33" s="137">
        <v>18003131</v>
      </c>
      <c r="U33" s="137">
        <v>18001178</v>
      </c>
      <c r="V33" s="100">
        <f t="shared" si="11"/>
        <v>26087022</v>
      </c>
      <c r="W33" s="100">
        <v>26087022</v>
      </c>
      <c r="X33" s="100"/>
      <c r="Y33" s="100"/>
      <c r="Z33" s="100"/>
      <c r="AA33" s="97"/>
      <c r="AB33" s="97"/>
      <c r="AC33" s="97"/>
      <c r="AD33" s="97"/>
      <c r="AE33" s="97"/>
      <c r="AF33" s="97"/>
      <c r="AG33" s="97"/>
      <c r="AH33" s="97"/>
      <c r="AI33" s="97"/>
    </row>
    <row r="34" spans="1:35" ht="24.75" x14ac:dyDescent="0.15">
      <c r="A34" s="141">
        <v>129</v>
      </c>
      <c r="B34" s="129" t="s">
        <v>180</v>
      </c>
      <c r="C34" s="142">
        <v>2129001</v>
      </c>
      <c r="D34" s="130" t="s">
        <v>274</v>
      </c>
      <c r="E34" s="131" t="s">
        <v>182</v>
      </c>
      <c r="F34" s="149" t="s">
        <v>223</v>
      </c>
      <c r="G34" s="133">
        <v>2310000</v>
      </c>
      <c r="H34" s="144" t="s">
        <v>275</v>
      </c>
      <c r="I34" s="135" t="s">
        <v>276</v>
      </c>
      <c r="J34" s="150" t="s">
        <v>277</v>
      </c>
      <c r="K34" s="135" t="s">
        <v>276</v>
      </c>
      <c r="L34" s="100">
        <f t="shared" si="10"/>
        <v>97058102</v>
      </c>
      <c r="M34" s="98">
        <v>97058102</v>
      </c>
      <c r="N34" s="99" t="s">
        <v>192</v>
      </c>
      <c r="O34" s="99" t="s">
        <v>205</v>
      </c>
      <c r="P34" s="100"/>
      <c r="Q34" s="100"/>
      <c r="R34" s="100"/>
      <c r="S34" s="100"/>
      <c r="T34" s="137">
        <v>77034943</v>
      </c>
      <c r="U34" s="137">
        <v>77034943</v>
      </c>
      <c r="V34" s="100">
        <f t="shared" si="11"/>
        <v>20023159</v>
      </c>
      <c r="W34" s="100">
        <v>20023159</v>
      </c>
      <c r="X34" s="100"/>
      <c r="Y34" s="100"/>
      <c r="Z34" s="100"/>
      <c r="AA34" s="97"/>
      <c r="AB34" s="97"/>
      <c r="AC34" s="97"/>
      <c r="AD34" s="97"/>
      <c r="AE34" s="97"/>
      <c r="AF34" s="97"/>
      <c r="AG34" s="97"/>
      <c r="AH34" s="97"/>
      <c r="AI34" s="97"/>
    </row>
    <row r="35" spans="1:35" ht="24.75" x14ac:dyDescent="0.15">
      <c r="A35" s="141">
        <v>129</v>
      </c>
      <c r="B35" s="129" t="s">
        <v>180</v>
      </c>
      <c r="C35" s="142">
        <v>2129001</v>
      </c>
      <c r="D35" s="130" t="s">
        <v>274</v>
      </c>
      <c r="E35" s="131" t="s">
        <v>182</v>
      </c>
      <c r="F35" s="149" t="s">
        <v>223</v>
      </c>
      <c r="G35" s="133">
        <v>2310000</v>
      </c>
      <c r="H35" s="144" t="s">
        <v>275</v>
      </c>
      <c r="I35" s="135" t="s">
        <v>278</v>
      </c>
      <c r="J35" s="150" t="s">
        <v>279</v>
      </c>
      <c r="K35" s="135" t="s">
        <v>278</v>
      </c>
      <c r="L35" s="100">
        <f t="shared" si="10"/>
        <v>62931000</v>
      </c>
      <c r="M35" s="98">
        <v>62931000</v>
      </c>
      <c r="N35" s="99" t="s">
        <v>192</v>
      </c>
      <c r="O35" s="99" t="s">
        <v>205</v>
      </c>
      <c r="P35" s="100"/>
      <c r="Q35" s="100"/>
      <c r="R35" s="100"/>
      <c r="S35" s="100"/>
      <c r="T35" s="137">
        <v>15512068</v>
      </c>
      <c r="U35" s="137">
        <v>15512068</v>
      </c>
      <c r="V35" s="100">
        <f t="shared" si="11"/>
        <v>47418932</v>
      </c>
      <c r="W35" s="100">
        <v>47418932</v>
      </c>
      <c r="X35" s="100"/>
      <c r="Y35" s="100"/>
      <c r="Z35" s="100"/>
      <c r="AA35" s="97"/>
      <c r="AB35" s="97"/>
      <c r="AC35" s="97"/>
      <c r="AD35" s="97"/>
      <c r="AE35" s="97"/>
      <c r="AF35" s="97"/>
      <c r="AG35" s="97"/>
      <c r="AH35" s="97"/>
      <c r="AI35" s="97"/>
    </row>
    <row r="36" spans="1:35" ht="24.75" x14ac:dyDescent="0.15">
      <c r="A36" s="131" t="s">
        <v>280</v>
      </c>
      <c r="B36" s="129" t="s">
        <v>180</v>
      </c>
      <c r="C36" s="128" t="s">
        <v>281</v>
      </c>
      <c r="D36" s="130" t="s">
        <v>282</v>
      </c>
      <c r="E36" s="131" t="s">
        <v>182</v>
      </c>
      <c r="F36" s="149" t="s">
        <v>223</v>
      </c>
      <c r="G36" s="133">
        <v>2310000</v>
      </c>
      <c r="H36" s="144" t="s">
        <v>275</v>
      </c>
      <c r="I36" s="135" t="s">
        <v>283</v>
      </c>
      <c r="J36" s="150" t="s">
        <v>284</v>
      </c>
      <c r="K36" s="135" t="s">
        <v>283</v>
      </c>
      <c r="L36" s="100">
        <f t="shared" si="10"/>
        <v>47871000</v>
      </c>
      <c r="M36" s="98">
        <v>47871000</v>
      </c>
      <c r="N36" s="99" t="s">
        <v>192</v>
      </c>
      <c r="O36" s="99" t="s">
        <v>205</v>
      </c>
      <c r="P36" s="100"/>
      <c r="Q36" s="100"/>
      <c r="R36" s="100"/>
      <c r="S36" s="100"/>
      <c r="T36" s="137">
        <v>19114976</v>
      </c>
      <c r="U36" s="137">
        <v>19114976</v>
      </c>
      <c r="V36" s="100">
        <f t="shared" si="11"/>
        <v>28756024</v>
      </c>
      <c r="W36" s="100">
        <v>28756024</v>
      </c>
      <c r="X36" s="100"/>
      <c r="Y36" s="100"/>
      <c r="Z36" s="100"/>
      <c r="AA36" s="97"/>
      <c r="AB36" s="97"/>
      <c r="AC36" s="97"/>
      <c r="AD36" s="97"/>
      <c r="AE36" s="97"/>
      <c r="AF36" s="97"/>
      <c r="AG36" s="97"/>
      <c r="AH36" s="97"/>
      <c r="AI36" s="97"/>
    </row>
    <row r="37" spans="1:35" ht="24.75" x14ac:dyDescent="0.15">
      <c r="A37" s="131" t="s">
        <v>285</v>
      </c>
      <c r="B37" s="129" t="s">
        <v>180</v>
      </c>
      <c r="C37" s="128" t="s">
        <v>286</v>
      </c>
      <c r="D37" s="130" t="s">
        <v>287</v>
      </c>
      <c r="E37" s="131" t="s">
        <v>182</v>
      </c>
      <c r="F37" s="149" t="s">
        <v>223</v>
      </c>
      <c r="G37" s="133">
        <v>2310000</v>
      </c>
      <c r="H37" s="131" t="s">
        <v>288</v>
      </c>
      <c r="I37" s="135" t="s">
        <v>289</v>
      </c>
      <c r="J37" s="150" t="s">
        <v>290</v>
      </c>
      <c r="K37" s="135" t="s">
        <v>289</v>
      </c>
      <c r="L37" s="100">
        <f t="shared" si="10"/>
        <v>20340115</v>
      </c>
      <c r="M37" s="98">
        <v>20340115</v>
      </c>
      <c r="N37" s="99" t="s">
        <v>192</v>
      </c>
      <c r="O37" s="99" t="s">
        <v>205</v>
      </c>
      <c r="P37" s="100"/>
      <c r="Q37" s="100"/>
      <c r="R37" s="100"/>
      <c r="S37" s="100"/>
      <c r="T37" s="137">
        <v>15100000</v>
      </c>
      <c r="U37" s="151">
        <v>15092698</v>
      </c>
      <c r="V37" s="100">
        <f t="shared" si="11"/>
        <v>5247417</v>
      </c>
      <c r="W37" s="100">
        <v>5247417</v>
      </c>
      <c r="X37" s="100"/>
      <c r="Y37" s="100"/>
      <c r="Z37" s="100"/>
      <c r="AA37" s="97"/>
      <c r="AB37" s="97"/>
      <c r="AC37" s="97"/>
      <c r="AD37" s="97"/>
      <c r="AE37" s="97"/>
      <c r="AF37" s="97"/>
      <c r="AG37" s="97"/>
      <c r="AH37" s="97"/>
      <c r="AI37" s="97"/>
    </row>
    <row r="38" spans="1:35" ht="24.75" x14ac:dyDescent="0.15">
      <c r="A38" s="131" t="s">
        <v>285</v>
      </c>
      <c r="B38" s="129" t="s">
        <v>180</v>
      </c>
      <c r="C38" s="128" t="s">
        <v>286</v>
      </c>
      <c r="D38" s="130" t="s">
        <v>287</v>
      </c>
      <c r="E38" s="131" t="s">
        <v>182</v>
      </c>
      <c r="F38" s="149" t="s">
        <v>223</v>
      </c>
      <c r="G38" s="133">
        <v>2310000</v>
      </c>
      <c r="H38" s="131" t="s">
        <v>288</v>
      </c>
      <c r="I38" s="135" t="s">
        <v>291</v>
      </c>
      <c r="J38" s="150" t="s">
        <v>292</v>
      </c>
      <c r="K38" s="135" t="s">
        <v>291</v>
      </c>
      <c r="L38" s="100">
        <f t="shared" si="10"/>
        <v>14291954</v>
      </c>
      <c r="M38" s="98">
        <v>14291954</v>
      </c>
      <c r="N38" s="99" t="s">
        <v>192</v>
      </c>
      <c r="O38" s="99" t="s">
        <v>205</v>
      </c>
      <c r="P38" s="100"/>
      <c r="Q38" s="100"/>
      <c r="R38" s="100"/>
      <c r="S38" s="100"/>
      <c r="T38" s="137">
        <v>8350000</v>
      </c>
      <c r="U38" s="137">
        <v>8350000</v>
      </c>
      <c r="V38" s="100">
        <f t="shared" si="11"/>
        <v>5941954</v>
      </c>
      <c r="W38" s="100">
        <v>5941954</v>
      </c>
      <c r="X38" s="100"/>
      <c r="Y38" s="100"/>
      <c r="Z38" s="100"/>
      <c r="AA38" s="97"/>
      <c r="AB38" s="97"/>
      <c r="AC38" s="97"/>
      <c r="AD38" s="97"/>
      <c r="AE38" s="97"/>
      <c r="AF38" s="97"/>
      <c r="AG38" s="97"/>
      <c r="AH38" s="97"/>
      <c r="AI38" s="97"/>
    </row>
    <row r="39" spans="1:35" ht="24.75" x14ac:dyDescent="0.15">
      <c r="A39" s="131" t="s">
        <v>293</v>
      </c>
      <c r="B39" s="129" t="s">
        <v>180</v>
      </c>
      <c r="C39" s="128" t="s">
        <v>294</v>
      </c>
      <c r="D39" s="130" t="s">
        <v>295</v>
      </c>
      <c r="E39" s="131" t="s">
        <v>182</v>
      </c>
      <c r="F39" s="149" t="s">
        <v>223</v>
      </c>
      <c r="G39" s="133">
        <v>2310000</v>
      </c>
      <c r="H39" s="131" t="s">
        <v>288</v>
      </c>
      <c r="I39" s="135" t="s">
        <v>296</v>
      </c>
      <c r="J39" s="150" t="s">
        <v>297</v>
      </c>
      <c r="K39" s="135" t="s">
        <v>296</v>
      </c>
      <c r="L39" s="100">
        <f t="shared" si="10"/>
        <v>24474324</v>
      </c>
      <c r="M39" s="98">
        <v>24474324</v>
      </c>
      <c r="N39" s="99" t="s">
        <v>192</v>
      </c>
      <c r="O39" s="99" t="s">
        <v>205</v>
      </c>
      <c r="P39" s="100"/>
      <c r="Q39" s="100"/>
      <c r="R39" s="100"/>
      <c r="S39" s="100"/>
      <c r="T39" s="137">
        <v>13884749</v>
      </c>
      <c r="U39" s="137">
        <v>13884749</v>
      </c>
      <c r="V39" s="100">
        <f t="shared" si="11"/>
        <v>10589575</v>
      </c>
      <c r="W39" s="100">
        <v>10589575</v>
      </c>
      <c r="X39" s="100"/>
      <c r="Y39" s="100"/>
      <c r="Z39" s="100"/>
      <c r="AA39" s="97"/>
      <c r="AB39" s="97"/>
      <c r="AC39" s="97"/>
      <c r="AD39" s="97"/>
      <c r="AE39" s="97"/>
      <c r="AF39" s="97"/>
      <c r="AG39" s="97"/>
      <c r="AH39" s="97"/>
      <c r="AI39" s="97"/>
    </row>
    <row r="40" spans="1:35" ht="24.75" x14ac:dyDescent="0.15">
      <c r="A40" s="131" t="s">
        <v>298</v>
      </c>
      <c r="B40" s="129" t="s">
        <v>180</v>
      </c>
      <c r="C40" s="128" t="s">
        <v>299</v>
      </c>
      <c r="D40" s="130" t="s">
        <v>300</v>
      </c>
      <c r="E40" s="131" t="s">
        <v>182</v>
      </c>
      <c r="F40" s="149" t="s">
        <v>223</v>
      </c>
      <c r="G40" s="133">
        <v>2310000</v>
      </c>
      <c r="H40" s="131" t="s">
        <v>301</v>
      </c>
      <c r="I40" s="135" t="s">
        <v>302</v>
      </c>
      <c r="J40" s="145" t="s">
        <v>303</v>
      </c>
      <c r="K40" s="135" t="s">
        <v>302</v>
      </c>
      <c r="L40" s="100">
        <f t="shared" si="10"/>
        <v>89962080</v>
      </c>
      <c r="M40" s="98">
        <v>89962080</v>
      </c>
      <c r="N40" s="99" t="s">
        <v>192</v>
      </c>
      <c r="O40" s="99" t="s">
        <v>205</v>
      </c>
      <c r="P40" s="100"/>
      <c r="Q40" s="100"/>
      <c r="R40" s="100"/>
      <c r="S40" s="100"/>
      <c r="T40" s="137">
        <v>31984832</v>
      </c>
      <c r="U40" s="137">
        <v>31984832</v>
      </c>
      <c r="V40" s="100">
        <f t="shared" si="11"/>
        <v>57977248</v>
      </c>
      <c r="W40" s="100">
        <v>57977248</v>
      </c>
      <c r="X40" s="100"/>
      <c r="Y40" s="100"/>
      <c r="Z40" s="100"/>
      <c r="AA40" s="97"/>
      <c r="AB40" s="97"/>
      <c r="AC40" s="97"/>
      <c r="AD40" s="97"/>
      <c r="AE40" s="97"/>
      <c r="AF40" s="97"/>
      <c r="AG40" s="97"/>
      <c r="AH40" s="97"/>
      <c r="AI40" s="97"/>
    </row>
    <row r="41" spans="1:35" ht="24.75" x14ac:dyDescent="0.15">
      <c r="A41" s="131" t="s">
        <v>304</v>
      </c>
      <c r="B41" s="129" t="s">
        <v>180</v>
      </c>
      <c r="C41" s="128" t="s">
        <v>305</v>
      </c>
      <c r="D41" s="130" t="s">
        <v>306</v>
      </c>
      <c r="E41" s="131" t="s">
        <v>182</v>
      </c>
      <c r="F41" s="149" t="s">
        <v>223</v>
      </c>
      <c r="G41" s="133">
        <v>2310000</v>
      </c>
      <c r="H41" s="131" t="s">
        <v>187</v>
      </c>
      <c r="I41" s="135" t="s">
        <v>307</v>
      </c>
      <c r="J41" s="145" t="s">
        <v>308</v>
      </c>
      <c r="K41" s="135" t="s">
        <v>307</v>
      </c>
      <c r="L41" s="100">
        <f t="shared" si="10"/>
        <v>98490697</v>
      </c>
      <c r="M41" s="98">
        <v>98490697</v>
      </c>
      <c r="N41" s="99" t="s">
        <v>192</v>
      </c>
      <c r="O41" s="99" t="s">
        <v>205</v>
      </c>
      <c r="P41" s="100"/>
      <c r="Q41" s="100"/>
      <c r="R41" s="100"/>
      <c r="S41" s="100"/>
      <c r="T41" s="137">
        <f>39600001+40000000</f>
        <v>79600001</v>
      </c>
      <c r="U41" s="137">
        <v>79599948</v>
      </c>
      <c r="V41" s="100">
        <f t="shared" si="11"/>
        <v>18890749</v>
      </c>
      <c r="W41" s="100">
        <v>18890749</v>
      </c>
      <c r="X41" s="100"/>
      <c r="Y41" s="100"/>
      <c r="Z41" s="100"/>
      <c r="AA41" s="97"/>
      <c r="AB41" s="97"/>
      <c r="AC41" s="97"/>
      <c r="AD41" s="97"/>
      <c r="AE41" s="97"/>
      <c r="AF41" s="97"/>
      <c r="AG41" s="97"/>
      <c r="AH41" s="97"/>
      <c r="AI41" s="97"/>
    </row>
    <row r="42" spans="1:35" ht="15" customHeight="1" x14ac:dyDescent="0.15">
      <c r="A42" s="131" t="s">
        <v>309</v>
      </c>
      <c r="B42" s="129" t="s">
        <v>180</v>
      </c>
      <c r="C42" s="128" t="s">
        <v>310</v>
      </c>
      <c r="D42" s="130" t="s">
        <v>311</v>
      </c>
      <c r="E42" s="131" t="s">
        <v>182</v>
      </c>
      <c r="F42" s="152" t="s">
        <v>223</v>
      </c>
      <c r="G42" s="133">
        <v>2310000</v>
      </c>
      <c r="H42" s="131" t="s">
        <v>312</v>
      </c>
      <c r="I42" s="135" t="s">
        <v>313</v>
      </c>
      <c r="J42" s="145" t="s">
        <v>314</v>
      </c>
      <c r="K42" s="135" t="s">
        <v>313</v>
      </c>
      <c r="L42" s="100">
        <f t="shared" si="10"/>
        <v>54163145</v>
      </c>
      <c r="M42" s="98">
        <v>54163145</v>
      </c>
      <c r="N42" s="99" t="s">
        <v>192</v>
      </c>
      <c r="O42" s="99" t="s">
        <v>205</v>
      </c>
      <c r="P42" s="100"/>
      <c r="Q42" s="100"/>
      <c r="R42" s="100"/>
      <c r="S42" s="100"/>
      <c r="T42" s="137">
        <v>15900998</v>
      </c>
      <c r="U42" s="137">
        <v>15900998</v>
      </c>
      <c r="V42" s="100">
        <f t="shared" si="11"/>
        <v>38262147</v>
      </c>
      <c r="W42" s="100">
        <v>38262147</v>
      </c>
      <c r="X42" s="100"/>
      <c r="Y42" s="100"/>
      <c r="Z42" s="100"/>
      <c r="AA42" s="97"/>
      <c r="AB42" s="97"/>
      <c r="AC42" s="97"/>
      <c r="AD42" s="97"/>
      <c r="AE42" s="97"/>
      <c r="AF42" s="97"/>
      <c r="AG42" s="97"/>
      <c r="AH42" s="97"/>
      <c r="AI42" s="97"/>
    </row>
    <row r="43" spans="1:35" ht="24.75" x14ac:dyDescent="0.15">
      <c r="A43" s="131" t="s">
        <v>315</v>
      </c>
      <c r="B43" s="129" t="s">
        <v>180</v>
      </c>
      <c r="C43" s="128" t="s">
        <v>316</v>
      </c>
      <c r="D43" s="130" t="s">
        <v>317</v>
      </c>
      <c r="E43" s="131" t="s">
        <v>182</v>
      </c>
      <c r="F43" s="152" t="s">
        <v>223</v>
      </c>
      <c r="G43" s="133">
        <v>2310000</v>
      </c>
      <c r="H43" s="131" t="s">
        <v>318</v>
      </c>
      <c r="I43" s="135" t="s">
        <v>319</v>
      </c>
      <c r="J43" s="145" t="s">
        <v>320</v>
      </c>
      <c r="K43" s="135" t="s">
        <v>319</v>
      </c>
      <c r="L43" s="100">
        <f t="shared" si="10"/>
        <v>4747195</v>
      </c>
      <c r="M43" s="98">
        <v>4747195</v>
      </c>
      <c r="N43" s="99" t="s">
        <v>192</v>
      </c>
      <c r="O43" s="99" t="s">
        <v>205</v>
      </c>
      <c r="P43" s="100"/>
      <c r="Q43" s="100"/>
      <c r="R43" s="100"/>
      <c r="S43" s="100"/>
      <c r="T43" s="137">
        <v>5000000</v>
      </c>
      <c r="U43" s="137">
        <v>4436178</v>
      </c>
      <c r="V43" s="100">
        <f t="shared" si="11"/>
        <v>311017</v>
      </c>
      <c r="W43" s="100">
        <v>311017</v>
      </c>
      <c r="X43" s="100"/>
      <c r="Y43" s="100"/>
      <c r="Z43" s="100"/>
      <c r="AA43" s="97"/>
      <c r="AB43" s="97"/>
      <c r="AC43" s="97"/>
      <c r="AD43" s="97"/>
      <c r="AE43" s="97"/>
      <c r="AF43" s="97"/>
      <c r="AG43" s="97"/>
      <c r="AH43" s="97"/>
      <c r="AI43" s="97"/>
    </row>
    <row r="44" spans="1:35" ht="24.75" x14ac:dyDescent="0.15">
      <c r="A44" s="131" t="s">
        <v>321</v>
      </c>
      <c r="B44" s="129" t="s">
        <v>180</v>
      </c>
      <c r="C44" s="128" t="s">
        <v>322</v>
      </c>
      <c r="D44" s="130" t="s">
        <v>323</v>
      </c>
      <c r="E44" s="131" t="s">
        <v>182</v>
      </c>
      <c r="F44" s="152" t="s">
        <v>223</v>
      </c>
      <c r="G44" s="133">
        <v>2310000</v>
      </c>
      <c r="H44" s="131" t="s">
        <v>202</v>
      </c>
      <c r="I44" s="135" t="s">
        <v>324</v>
      </c>
      <c r="J44" s="140" t="s">
        <v>325</v>
      </c>
      <c r="K44" s="135" t="s">
        <v>324</v>
      </c>
      <c r="L44" s="100">
        <f t="shared" si="10"/>
        <v>81007083</v>
      </c>
      <c r="M44" s="98">
        <v>81007083</v>
      </c>
      <c r="N44" s="99" t="s">
        <v>192</v>
      </c>
      <c r="O44" s="99" t="s">
        <v>205</v>
      </c>
      <c r="P44" s="100"/>
      <c r="Q44" s="100"/>
      <c r="R44" s="100"/>
      <c r="S44" s="100"/>
      <c r="T44" s="137">
        <v>39036513</v>
      </c>
      <c r="U44" s="137">
        <v>0</v>
      </c>
      <c r="V44" s="100">
        <f t="shared" si="11"/>
        <v>81007083</v>
      </c>
      <c r="W44" s="100">
        <v>81007083</v>
      </c>
      <c r="X44" s="100"/>
      <c r="Y44" s="100"/>
      <c r="Z44" s="100"/>
      <c r="AA44" s="97"/>
      <c r="AB44" s="97"/>
      <c r="AC44" s="97"/>
      <c r="AD44" s="97"/>
      <c r="AE44" s="97"/>
      <c r="AF44" s="97"/>
      <c r="AG44" s="97"/>
      <c r="AH44" s="97"/>
      <c r="AI44" s="97"/>
    </row>
    <row r="45" spans="1:35" ht="24.75" x14ac:dyDescent="0.15">
      <c r="A45" s="131" t="s">
        <v>326</v>
      </c>
      <c r="B45" s="129" t="s">
        <v>180</v>
      </c>
      <c r="C45" s="128" t="s">
        <v>327</v>
      </c>
      <c r="D45" s="130" t="s">
        <v>328</v>
      </c>
      <c r="E45" s="131" t="s">
        <v>182</v>
      </c>
      <c r="F45" s="152" t="s">
        <v>223</v>
      </c>
      <c r="G45" s="133">
        <v>2310000</v>
      </c>
      <c r="H45" s="131" t="s">
        <v>212</v>
      </c>
      <c r="I45" s="135" t="s">
        <v>329</v>
      </c>
      <c r="J45" s="145" t="s">
        <v>330</v>
      </c>
      <c r="K45" s="135" t="s">
        <v>329</v>
      </c>
      <c r="L45" s="100">
        <f t="shared" si="10"/>
        <v>69436000</v>
      </c>
      <c r="M45" s="98">
        <v>69436000</v>
      </c>
      <c r="N45" s="99" t="s">
        <v>192</v>
      </c>
      <c r="O45" s="99" t="s">
        <v>205</v>
      </c>
      <c r="P45" s="100"/>
      <c r="Q45" s="100"/>
      <c r="R45" s="100"/>
      <c r="S45" s="100"/>
      <c r="T45" s="137">
        <v>27807328</v>
      </c>
      <c r="U45" s="137">
        <v>27807328</v>
      </c>
      <c r="V45" s="100">
        <f t="shared" si="11"/>
        <v>41628672</v>
      </c>
      <c r="W45" s="100">
        <v>41628672</v>
      </c>
      <c r="X45" s="100"/>
      <c r="Y45" s="100"/>
      <c r="Z45" s="100"/>
      <c r="AA45" s="97"/>
      <c r="AB45" s="97"/>
      <c r="AC45" s="97"/>
      <c r="AD45" s="97"/>
      <c r="AE45" s="97"/>
      <c r="AF45" s="97"/>
      <c r="AG45" s="97"/>
      <c r="AH45" s="97"/>
      <c r="AI45" s="97"/>
    </row>
    <row r="46" spans="1:35" ht="24.75" x14ac:dyDescent="0.15">
      <c r="A46" s="131" t="s">
        <v>331</v>
      </c>
      <c r="B46" s="129" t="s">
        <v>180</v>
      </c>
      <c r="C46" s="128" t="s">
        <v>332</v>
      </c>
      <c r="D46" s="130" t="s">
        <v>333</v>
      </c>
      <c r="E46" s="131" t="s">
        <v>182</v>
      </c>
      <c r="F46" s="152" t="s">
        <v>223</v>
      </c>
      <c r="G46" s="133">
        <v>2310000</v>
      </c>
      <c r="H46" s="131" t="s">
        <v>334</v>
      </c>
      <c r="I46" s="135" t="s">
        <v>335</v>
      </c>
      <c r="J46" s="145" t="s">
        <v>336</v>
      </c>
      <c r="K46" s="135" t="s">
        <v>335</v>
      </c>
      <c r="L46" s="100">
        <f t="shared" si="10"/>
        <v>22000000</v>
      </c>
      <c r="M46" s="98">
        <v>22000000</v>
      </c>
      <c r="N46" s="99" t="s">
        <v>192</v>
      </c>
      <c r="O46" s="99" t="s">
        <v>205</v>
      </c>
      <c r="P46" s="100"/>
      <c r="Q46" s="100"/>
      <c r="R46" s="100"/>
      <c r="S46" s="100"/>
      <c r="T46" s="137">
        <v>13520632</v>
      </c>
      <c r="U46" s="137">
        <v>13520632</v>
      </c>
      <c r="V46" s="100">
        <f t="shared" si="11"/>
        <v>8479368</v>
      </c>
      <c r="W46" s="100">
        <v>8781368</v>
      </c>
      <c r="X46" s="100"/>
      <c r="Y46" s="100"/>
      <c r="Z46" s="100"/>
      <c r="AA46" s="97"/>
      <c r="AB46" s="97"/>
      <c r="AC46" s="97"/>
      <c r="AD46" s="97"/>
      <c r="AE46" s="97"/>
      <c r="AF46" s="97"/>
      <c r="AG46" s="97"/>
      <c r="AH46" s="97"/>
      <c r="AI46" s="97"/>
    </row>
    <row r="47" spans="1:35" ht="24.75" x14ac:dyDescent="0.15">
      <c r="A47" s="131" t="s">
        <v>337</v>
      </c>
      <c r="B47" s="129" t="s">
        <v>180</v>
      </c>
      <c r="C47" s="128" t="s">
        <v>338</v>
      </c>
      <c r="D47" s="130" t="s">
        <v>339</v>
      </c>
      <c r="E47" s="131" t="s">
        <v>182</v>
      </c>
      <c r="F47" s="152" t="s">
        <v>223</v>
      </c>
      <c r="G47" s="133">
        <v>2310000</v>
      </c>
      <c r="H47" s="131" t="s">
        <v>334</v>
      </c>
      <c r="I47" s="135" t="s">
        <v>340</v>
      </c>
      <c r="J47" s="136" t="s">
        <v>341</v>
      </c>
      <c r="K47" s="135" t="s">
        <v>340</v>
      </c>
      <c r="L47" s="100">
        <f t="shared" si="10"/>
        <v>51158322</v>
      </c>
      <c r="M47" s="98">
        <v>51158322</v>
      </c>
      <c r="N47" s="99" t="s">
        <v>192</v>
      </c>
      <c r="O47" s="99" t="s">
        <v>205</v>
      </c>
      <c r="P47" s="100"/>
      <c r="Q47" s="100"/>
      <c r="R47" s="100"/>
      <c r="S47" s="100"/>
      <c r="T47" s="137">
        <v>51040000</v>
      </c>
      <c r="U47" s="137">
        <v>51040000</v>
      </c>
      <c r="V47" s="100">
        <f t="shared" si="11"/>
        <v>118322</v>
      </c>
      <c r="W47" s="100">
        <v>118322</v>
      </c>
      <c r="X47" s="103"/>
      <c r="Y47" s="103"/>
      <c r="Z47" s="103"/>
      <c r="AA47" s="104"/>
      <c r="AB47" s="104"/>
      <c r="AC47" s="104"/>
      <c r="AD47" s="104"/>
      <c r="AE47" s="104"/>
      <c r="AF47" s="104"/>
      <c r="AG47" s="104"/>
      <c r="AH47" s="104"/>
      <c r="AI47" s="104"/>
    </row>
    <row r="48" spans="1:35" ht="17.45" customHeight="1" x14ac:dyDescent="0.15">
      <c r="A48" s="92" t="s">
        <v>342</v>
      </c>
      <c r="B48" s="153"/>
      <c r="C48" s="153" t="s">
        <v>343</v>
      </c>
      <c r="D48" s="130" t="s">
        <v>344</v>
      </c>
      <c r="E48" s="93" t="s">
        <v>182</v>
      </c>
      <c r="F48" s="93" t="s">
        <v>223</v>
      </c>
      <c r="G48" s="93">
        <v>2310000</v>
      </c>
      <c r="H48" s="92" t="s">
        <v>212</v>
      </c>
      <c r="I48" s="93" t="s">
        <v>345</v>
      </c>
      <c r="J48" s="96" t="s">
        <v>346</v>
      </c>
      <c r="K48" s="93" t="s">
        <v>345</v>
      </c>
      <c r="L48" s="100">
        <f t="shared" si="10"/>
        <v>330577453</v>
      </c>
      <c r="M48" s="98">
        <v>330577453</v>
      </c>
      <c r="N48" s="99" t="s">
        <v>347</v>
      </c>
      <c r="O48" s="99" t="s">
        <v>192</v>
      </c>
      <c r="P48" s="100">
        <v>0</v>
      </c>
      <c r="Q48" s="100">
        <v>165288727</v>
      </c>
      <c r="R48" s="100">
        <v>123174678</v>
      </c>
      <c r="S48" s="100">
        <f>M48-R48</f>
        <v>207402775</v>
      </c>
      <c r="T48" s="100">
        <v>0</v>
      </c>
      <c r="U48" s="100">
        <v>0</v>
      </c>
      <c r="V48" s="100">
        <f>M48-P48-R48-U48-100000000</f>
        <v>107402775</v>
      </c>
      <c r="W48" s="100">
        <v>107402775</v>
      </c>
      <c r="X48" s="151">
        <v>100000000</v>
      </c>
      <c r="Y48" s="103"/>
      <c r="Z48" s="103"/>
      <c r="AA48" s="154">
        <v>100000000</v>
      </c>
      <c r="AB48" s="104"/>
      <c r="AC48" s="104"/>
      <c r="AD48" s="154"/>
      <c r="AE48" s="104"/>
      <c r="AF48" s="104"/>
      <c r="AG48" s="154"/>
      <c r="AH48" s="104"/>
      <c r="AI48" s="104"/>
    </row>
    <row r="49" spans="1:35" ht="14.25" customHeight="1" x14ac:dyDescent="0.15">
      <c r="A49" s="92" t="s">
        <v>348</v>
      </c>
      <c r="B49" s="93" t="s">
        <v>180</v>
      </c>
      <c r="C49" s="153" t="s">
        <v>349</v>
      </c>
      <c r="D49" s="130" t="s">
        <v>350</v>
      </c>
      <c r="E49" s="93" t="s">
        <v>182</v>
      </c>
      <c r="F49" s="155" t="s">
        <v>223</v>
      </c>
      <c r="G49" s="93">
        <v>2310000</v>
      </c>
      <c r="H49" s="102" t="s">
        <v>256</v>
      </c>
      <c r="I49" s="93" t="s">
        <v>351</v>
      </c>
      <c r="J49" s="96" t="s">
        <v>352</v>
      </c>
      <c r="K49" s="93" t="s">
        <v>351</v>
      </c>
      <c r="L49" s="100">
        <f t="shared" si="10"/>
        <v>103318260</v>
      </c>
      <c r="M49" s="98">
        <v>103318260</v>
      </c>
      <c r="N49" s="99" t="s">
        <v>186</v>
      </c>
      <c r="O49" s="99" t="s">
        <v>205</v>
      </c>
      <c r="P49" s="100">
        <v>0</v>
      </c>
      <c r="Q49" s="100">
        <v>17979563</v>
      </c>
      <c r="R49" s="100">
        <v>0</v>
      </c>
      <c r="S49" s="100">
        <f>M49-R49</f>
        <v>103318260</v>
      </c>
      <c r="T49" s="100">
        <v>43318000</v>
      </c>
      <c r="U49" s="100">
        <v>37057775</v>
      </c>
      <c r="V49" s="100">
        <f>M49-P49-R49-U49</f>
        <v>66260485</v>
      </c>
      <c r="W49" s="100">
        <v>66260485</v>
      </c>
      <c r="X49" s="103"/>
      <c r="Y49" s="103"/>
      <c r="Z49" s="103"/>
      <c r="AA49" s="104"/>
      <c r="AB49" s="104"/>
      <c r="AC49" s="104"/>
      <c r="AD49" s="104"/>
      <c r="AE49" s="104"/>
      <c r="AF49" s="104"/>
      <c r="AG49" s="104"/>
      <c r="AH49" s="104"/>
      <c r="AI49" s="104"/>
    </row>
    <row r="50" spans="1:35" ht="15" customHeight="1" x14ac:dyDescent="0.15">
      <c r="A50" s="92" t="s">
        <v>353</v>
      </c>
      <c r="B50" s="93" t="s">
        <v>180</v>
      </c>
      <c r="C50" s="153" t="s">
        <v>354</v>
      </c>
      <c r="D50" s="156" t="s">
        <v>355</v>
      </c>
      <c r="E50" s="93" t="s">
        <v>182</v>
      </c>
      <c r="F50" s="93" t="s">
        <v>223</v>
      </c>
      <c r="G50" s="93">
        <v>2310000</v>
      </c>
      <c r="H50" s="92">
        <v>3513</v>
      </c>
      <c r="I50" s="109" t="s">
        <v>356</v>
      </c>
      <c r="J50" s="96" t="s">
        <v>357</v>
      </c>
      <c r="K50" s="109" t="s">
        <v>356</v>
      </c>
      <c r="L50" s="100">
        <f t="shared" si="10"/>
        <v>98859335</v>
      </c>
      <c r="M50" s="98">
        <v>98859335</v>
      </c>
      <c r="N50" s="99" t="s">
        <v>186</v>
      </c>
      <c r="O50" s="99" t="s">
        <v>192</v>
      </c>
      <c r="P50" s="100">
        <v>0</v>
      </c>
      <c r="Q50" s="100">
        <v>49998863</v>
      </c>
      <c r="R50" s="100">
        <v>25192880</v>
      </c>
      <c r="S50" s="100">
        <f>M50-R50</f>
        <v>73666455</v>
      </c>
      <c r="T50" s="100">
        <f>M50-R50-305</f>
        <v>73666150</v>
      </c>
      <c r="U50" s="151">
        <v>61359804</v>
      </c>
      <c r="V50" s="100">
        <f>M50-P50-R50-U50</f>
        <v>12306651</v>
      </c>
      <c r="W50" s="100">
        <v>2306651</v>
      </c>
      <c r="X50" s="103"/>
      <c r="Y50" s="103"/>
      <c r="Z50" s="103"/>
      <c r="AA50" s="104"/>
      <c r="AB50" s="104"/>
      <c r="AC50" s="104"/>
      <c r="AD50" s="104"/>
      <c r="AE50" s="104"/>
      <c r="AF50" s="104"/>
      <c r="AG50" s="104"/>
      <c r="AH50" s="104"/>
      <c r="AI50" s="104"/>
    </row>
    <row r="51" spans="1:35" ht="24.75" x14ac:dyDescent="0.15">
      <c r="A51" s="153" t="s">
        <v>321</v>
      </c>
      <c r="B51" s="129">
        <v>11</v>
      </c>
      <c r="C51" s="153" t="s">
        <v>322</v>
      </c>
      <c r="D51" s="157" t="s">
        <v>323</v>
      </c>
      <c r="E51" s="93" t="s">
        <v>182</v>
      </c>
      <c r="F51" s="155" t="s">
        <v>223</v>
      </c>
      <c r="G51" s="133">
        <v>2310000</v>
      </c>
      <c r="H51" s="92">
        <v>3535</v>
      </c>
      <c r="I51" s="93" t="s">
        <v>358</v>
      </c>
      <c r="J51" s="96" t="s">
        <v>359</v>
      </c>
      <c r="K51" s="93" t="s">
        <v>358</v>
      </c>
      <c r="L51" s="100">
        <f t="shared" si="10"/>
        <v>260073375</v>
      </c>
      <c r="M51" s="98">
        <v>260073375</v>
      </c>
      <c r="N51" s="99" t="s">
        <v>186</v>
      </c>
      <c r="O51" s="99" t="s">
        <v>192</v>
      </c>
      <c r="P51" s="100">
        <v>0</v>
      </c>
      <c r="Q51" s="100">
        <v>10687616</v>
      </c>
      <c r="R51" s="100"/>
      <c r="S51" s="100">
        <f>M51-R51</f>
        <v>260073375</v>
      </c>
      <c r="T51" s="100">
        <v>82000000</v>
      </c>
      <c r="U51" s="158">
        <v>51854064</v>
      </c>
      <c r="V51" s="100">
        <f>M51-P51-R51-U51</f>
        <v>208219311</v>
      </c>
      <c r="W51" s="100">
        <v>208219311</v>
      </c>
      <c r="X51" s="103"/>
      <c r="Y51" s="103"/>
      <c r="Z51" s="103"/>
      <c r="AA51" s="104"/>
      <c r="AB51" s="104"/>
      <c r="AC51" s="104"/>
      <c r="AD51" s="104"/>
      <c r="AE51" s="104"/>
      <c r="AF51" s="104"/>
      <c r="AG51" s="104"/>
      <c r="AH51" s="104"/>
      <c r="AI51" s="104"/>
    </row>
    <row r="52" spans="1:35" ht="15.75" customHeight="1" x14ac:dyDescent="0.15">
      <c r="A52" s="108" t="s">
        <v>246</v>
      </c>
      <c r="B52" s="159">
        <v>11</v>
      </c>
      <c r="C52" s="109">
        <v>2132001</v>
      </c>
      <c r="D52" s="160" t="s">
        <v>248</v>
      </c>
      <c r="E52" s="93" t="s">
        <v>182</v>
      </c>
      <c r="F52" s="93" t="s">
        <v>223</v>
      </c>
      <c r="G52" s="93">
        <v>2310000</v>
      </c>
      <c r="H52" s="134" t="s">
        <v>249</v>
      </c>
      <c r="I52" s="93" t="s">
        <v>188</v>
      </c>
      <c r="J52" s="96" t="s">
        <v>189</v>
      </c>
      <c r="K52" s="93" t="s">
        <v>188</v>
      </c>
      <c r="L52" s="100">
        <f t="shared" si="10"/>
        <v>11000000</v>
      </c>
      <c r="M52" s="98">
        <v>21456124</v>
      </c>
      <c r="N52" s="99" t="s">
        <v>360</v>
      </c>
      <c r="O52" s="99" t="s">
        <v>361</v>
      </c>
      <c r="P52" s="100"/>
      <c r="Q52" s="100"/>
      <c r="R52" s="100"/>
      <c r="S52" s="100"/>
      <c r="T52" s="100">
        <v>0</v>
      </c>
      <c r="U52" s="100">
        <v>0</v>
      </c>
      <c r="V52" s="100">
        <v>11000000</v>
      </c>
      <c r="W52" s="100">
        <v>11853864</v>
      </c>
      <c r="X52" s="103"/>
      <c r="Y52" s="103"/>
      <c r="Z52" s="103"/>
      <c r="AA52" s="104"/>
      <c r="AB52" s="104"/>
      <c r="AC52" s="104"/>
      <c r="AD52" s="104"/>
      <c r="AE52" s="104"/>
      <c r="AF52" s="104"/>
      <c r="AG52" s="104"/>
      <c r="AH52" s="104"/>
      <c r="AI52" s="104"/>
    </row>
    <row r="53" spans="1:35" ht="17.25" customHeight="1" x14ac:dyDescent="0.15">
      <c r="A53" s="161" t="s">
        <v>362</v>
      </c>
      <c r="B53" s="161" t="s">
        <v>180</v>
      </c>
      <c r="C53" s="161" t="s">
        <v>363</v>
      </c>
      <c r="D53" s="136" t="s">
        <v>364</v>
      </c>
      <c r="E53" s="109" t="s">
        <v>182</v>
      </c>
      <c r="F53" s="161" t="s">
        <v>223</v>
      </c>
      <c r="G53" s="93">
        <v>2310000</v>
      </c>
      <c r="H53" s="161" t="s">
        <v>365</v>
      </c>
      <c r="I53" s="93" t="s">
        <v>188</v>
      </c>
      <c r="J53" s="96" t="s">
        <v>189</v>
      </c>
      <c r="K53" s="93" t="s">
        <v>188</v>
      </c>
      <c r="L53" s="100">
        <f t="shared" si="10"/>
        <v>425683</v>
      </c>
      <c r="M53" s="98">
        <v>20695710</v>
      </c>
      <c r="N53" s="99" t="s">
        <v>360</v>
      </c>
      <c r="O53" s="99" t="s">
        <v>361</v>
      </c>
      <c r="P53" s="100"/>
      <c r="Q53" s="100">
        <v>20270027</v>
      </c>
      <c r="R53" s="100"/>
      <c r="S53" s="100"/>
      <c r="T53" s="100">
        <v>0</v>
      </c>
      <c r="U53" s="100">
        <v>0</v>
      </c>
      <c r="V53" s="100">
        <f>M53-Q53</f>
        <v>425683</v>
      </c>
      <c r="W53" s="100">
        <v>423423</v>
      </c>
      <c r="X53" s="103"/>
      <c r="Y53" s="103"/>
      <c r="Z53" s="103"/>
      <c r="AA53" s="104"/>
      <c r="AB53" s="104"/>
      <c r="AC53" s="104"/>
      <c r="AD53" s="104"/>
      <c r="AE53" s="104"/>
      <c r="AF53" s="104"/>
      <c r="AG53" s="104"/>
      <c r="AH53" s="104"/>
      <c r="AI53" s="104"/>
    </row>
    <row r="54" spans="1:35" ht="21" customHeight="1" x14ac:dyDescent="0.15">
      <c r="A54" s="118" t="s">
        <v>177</v>
      </c>
      <c r="B54" s="119" t="s">
        <v>180</v>
      </c>
      <c r="C54" s="119"/>
      <c r="D54" s="3178" t="s">
        <v>366</v>
      </c>
      <c r="E54" s="3179"/>
      <c r="F54" s="121" t="s">
        <v>367</v>
      </c>
      <c r="G54" s="118"/>
      <c r="H54" s="121"/>
      <c r="I54" s="118"/>
      <c r="J54" s="3178" t="s">
        <v>366</v>
      </c>
      <c r="K54" s="3179"/>
      <c r="L54" s="80">
        <f>SUBTOTAL(9,L55:L70)</f>
        <v>4930953875</v>
      </c>
      <c r="M54" s="80">
        <f t="shared" ref="M54:U54" si="12">SUBTOTAL(9,M55:M70)</f>
        <v>2678245259</v>
      </c>
      <c r="N54" s="80">
        <f t="shared" si="12"/>
        <v>0</v>
      </c>
      <c r="O54" s="80">
        <f t="shared" si="12"/>
        <v>0</v>
      </c>
      <c r="P54" s="80">
        <f t="shared" si="12"/>
        <v>0</v>
      </c>
      <c r="Q54" s="80">
        <f t="shared" si="12"/>
        <v>180026277</v>
      </c>
      <c r="R54" s="80">
        <f t="shared" si="12"/>
        <v>155000000</v>
      </c>
      <c r="S54" s="80">
        <f t="shared" si="12"/>
        <v>436000000</v>
      </c>
      <c r="T54" s="80">
        <f t="shared" si="12"/>
        <v>252065000</v>
      </c>
      <c r="U54" s="80">
        <f t="shared" si="12"/>
        <v>144632932</v>
      </c>
      <c r="V54" s="80">
        <f>SUBTOTAL(9,V55:V70)</f>
        <v>1022115000</v>
      </c>
      <c r="W54" s="81">
        <f>SUBTOTAL(9,W55:W71)</f>
        <v>1022115000</v>
      </c>
      <c r="X54" s="80">
        <f t="shared" ref="X54:AI54" si="13">SUBTOTAL(9,X55:X70)</f>
        <v>1262000000</v>
      </c>
      <c r="Y54" s="80">
        <f t="shared" si="13"/>
        <v>1262000000</v>
      </c>
      <c r="Z54" s="80">
        <f t="shared" si="13"/>
        <v>1062000000</v>
      </c>
      <c r="AA54" s="123">
        <f t="shared" si="13"/>
        <v>1262000000</v>
      </c>
      <c r="AB54" s="123">
        <f t="shared" si="13"/>
        <v>1262000000</v>
      </c>
      <c r="AC54" s="123">
        <f t="shared" si="13"/>
        <v>1062000000</v>
      </c>
      <c r="AD54" s="123">
        <f t="shared" si="13"/>
        <v>0</v>
      </c>
      <c r="AE54" s="123">
        <f t="shared" si="13"/>
        <v>0</v>
      </c>
      <c r="AF54" s="123">
        <f t="shared" si="13"/>
        <v>0</v>
      </c>
      <c r="AG54" s="123">
        <f t="shared" si="13"/>
        <v>0</v>
      </c>
      <c r="AH54" s="123">
        <f t="shared" si="13"/>
        <v>0</v>
      </c>
      <c r="AI54" s="123">
        <f t="shared" si="13"/>
        <v>0</v>
      </c>
    </row>
    <row r="55" spans="1:35" ht="33" x14ac:dyDescent="0.15">
      <c r="A55" s="92" t="s">
        <v>179</v>
      </c>
      <c r="B55" s="93" t="s">
        <v>180</v>
      </c>
      <c r="C55" s="94">
        <v>1011001</v>
      </c>
      <c r="D55" s="95" t="s">
        <v>181</v>
      </c>
      <c r="E55" s="93" t="s">
        <v>182</v>
      </c>
      <c r="F55" s="93" t="s">
        <v>367</v>
      </c>
      <c r="G55" s="93">
        <v>2310000</v>
      </c>
      <c r="H55" s="92">
        <v>3535</v>
      </c>
      <c r="I55" s="125" t="s">
        <v>368</v>
      </c>
      <c r="J55" s="162" t="s">
        <v>369</v>
      </c>
      <c r="K55" s="125" t="s">
        <v>368</v>
      </c>
      <c r="L55" s="97">
        <f t="shared" ref="L55:L60" si="14">P55+R55+U55+V55+X55+Y55+Z55</f>
        <v>2485623797</v>
      </c>
      <c r="M55" s="98">
        <v>1829000000</v>
      </c>
      <c r="N55" s="99" t="s">
        <v>192</v>
      </c>
      <c r="O55" s="99" t="s">
        <v>205</v>
      </c>
      <c r="P55" s="100"/>
      <c r="Q55" s="100">
        <v>25026277</v>
      </c>
      <c r="R55" s="100">
        <v>0</v>
      </c>
      <c r="S55" s="100"/>
      <c r="T55" s="81">
        <f>243065000-59000000+2000000-185484524</f>
        <v>580476</v>
      </c>
      <c r="U55" s="81"/>
      <c r="V55" s="100">
        <f>517673000-343009447+77960244+20000000-70000000</f>
        <v>202623797</v>
      </c>
      <c r="W55" s="100">
        <v>304759416</v>
      </c>
      <c r="X55" s="100">
        <v>809000000</v>
      </c>
      <c r="Y55" s="100">
        <v>812000000</v>
      </c>
      <c r="Z55" s="100">
        <v>662000000</v>
      </c>
      <c r="AA55" s="97">
        <v>809000000</v>
      </c>
      <c r="AB55" s="97">
        <v>812000000</v>
      </c>
      <c r="AC55" s="97">
        <v>662000000</v>
      </c>
      <c r="AD55" s="97"/>
      <c r="AE55" s="97"/>
      <c r="AF55" s="97"/>
      <c r="AG55" s="97"/>
      <c r="AH55" s="97"/>
      <c r="AI55" s="97"/>
    </row>
    <row r="56" spans="1:35" ht="33" x14ac:dyDescent="0.15">
      <c r="A56" s="92" t="s">
        <v>179</v>
      </c>
      <c r="B56" s="93" t="s">
        <v>180</v>
      </c>
      <c r="C56" s="94">
        <v>1011001</v>
      </c>
      <c r="D56" s="95" t="s">
        <v>181</v>
      </c>
      <c r="E56" s="93" t="s">
        <v>182</v>
      </c>
      <c r="F56" s="93" t="s">
        <v>367</v>
      </c>
      <c r="G56" s="93">
        <v>2310000</v>
      </c>
      <c r="H56" s="92">
        <v>3535</v>
      </c>
      <c r="I56" s="125" t="s">
        <v>370</v>
      </c>
      <c r="J56" s="162" t="s">
        <v>371</v>
      </c>
      <c r="K56" s="125" t="s">
        <v>370</v>
      </c>
      <c r="L56" s="97">
        <f t="shared" si="14"/>
        <v>1259132260</v>
      </c>
      <c r="M56" s="98"/>
      <c r="N56" s="99"/>
      <c r="O56" s="99"/>
      <c r="P56" s="100"/>
      <c r="Q56" s="100"/>
      <c r="R56" s="100"/>
      <c r="S56" s="100"/>
      <c r="T56" s="81">
        <f>59000000-40000000</f>
        <v>19000000</v>
      </c>
      <c r="U56" s="81"/>
      <c r="V56" s="100">
        <f>210000000+66132259-6999999</f>
        <v>269132260</v>
      </c>
      <c r="W56" s="100">
        <v>130000000</v>
      </c>
      <c r="X56" s="100">
        <v>330000000</v>
      </c>
      <c r="Y56" s="100">
        <v>330000000</v>
      </c>
      <c r="Z56" s="100">
        <v>330000000</v>
      </c>
      <c r="AA56" s="97">
        <v>330000000</v>
      </c>
      <c r="AB56" s="97">
        <v>330000000</v>
      </c>
      <c r="AC56" s="97">
        <v>330000000</v>
      </c>
      <c r="AD56" s="97"/>
      <c r="AE56" s="97"/>
      <c r="AF56" s="97"/>
      <c r="AG56" s="97"/>
      <c r="AH56" s="97"/>
      <c r="AI56" s="97"/>
    </row>
    <row r="57" spans="1:35" ht="24.75" x14ac:dyDescent="0.15">
      <c r="A57" s="92" t="s">
        <v>179</v>
      </c>
      <c r="B57" s="93" t="s">
        <v>180</v>
      </c>
      <c r="C57" s="94">
        <v>1011001</v>
      </c>
      <c r="D57" s="95" t="s">
        <v>181</v>
      </c>
      <c r="E57" s="93" t="s">
        <v>182</v>
      </c>
      <c r="F57" s="93" t="s">
        <v>367</v>
      </c>
      <c r="G57" s="93">
        <v>2310000</v>
      </c>
      <c r="H57" s="92" t="s">
        <v>202</v>
      </c>
      <c r="I57" s="93" t="s">
        <v>372</v>
      </c>
      <c r="J57" s="96" t="s">
        <v>373</v>
      </c>
      <c r="K57" s="93" t="s">
        <v>372</v>
      </c>
      <c r="L57" s="97">
        <f t="shared" si="14"/>
        <v>150000000</v>
      </c>
      <c r="M57" s="98">
        <v>90000000</v>
      </c>
      <c r="N57" s="99" t="s">
        <v>192</v>
      </c>
      <c r="O57" s="99" t="s">
        <v>205</v>
      </c>
      <c r="P57" s="100"/>
      <c r="Q57" s="100">
        <v>30000000</v>
      </c>
      <c r="R57" s="100">
        <v>30000000</v>
      </c>
      <c r="S57" s="100">
        <f>+L57-P57-Q57</f>
        <v>120000000</v>
      </c>
      <c r="T57" s="100">
        <v>0</v>
      </c>
      <c r="U57" s="100"/>
      <c r="V57" s="100">
        <v>30000000</v>
      </c>
      <c r="W57" s="100">
        <v>30000000</v>
      </c>
      <c r="X57" s="100">
        <v>30000000</v>
      </c>
      <c r="Y57" s="100">
        <v>30000000</v>
      </c>
      <c r="Z57" s="100">
        <v>30000000</v>
      </c>
      <c r="AA57" s="97">
        <v>30000000</v>
      </c>
      <c r="AB57" s="97">
        <v>30000000</v>
      </c>
      <c r="AC57" s="97">
        <v>30000000</v>
      </c>
      <c r="AD57" s="97"/>
      <c r="AE57" s="97"/>
      <c r="AF57" s="97"/>
      <c r="AG57" s="97"/>
      <c r="AH57" s="97"/>
      <c r="AI57" s="97"/>
    </row>
    <row r="58" spans="1:35" ht="18.75" customHeight="1" x14ac:dyDescent="0.15">
      <c r="A58" s="92" t="s">
        <v>179</v>
      </c>
      <c r="B58" s="93" t="s">
        <v>180</v>
      </c>
      <c r="C58" s="94">
        <v>1011001</v>
      </c>
      <c r="D58" s="95" t="s">
        <v>181</v>
      </c>
      <c r="E58" s="93" t="s">
        <v>182</v>
      </c>
      <c r="F58" s="93" t="s">
        <v>367</v>
      </c>
      <c r="G58" s="93" t="s">
        <v>183</v>
      </c>
      <c r="H58" s="92">
        <v>3535</v>
      </c>
      <c r="I58" s="93" t="s">
        <v>374</v>
      </c>
      <c r="J58" s="96" t="s">
        <v>375</v>
      </c>
      <c r="K58" s="93" t="s">
        <v>374</v>
      </c>
      <c r="L58" s="97">
        <f t="shared" si="14"/>
        <v>178000000</v>
      </c>
      <c r="M58" s="98">
        <v>171000000</v>
      </c>
      <c r="N58" s="99" t="s">
        <v>192</v>
      </c>
      <c r="O58" s="99" t="s">
        <v>205</v>
      </c>
      <c r="P58" s="100"/>
      <c r="Q58" s="100">
        <v>25000000</v>
      </c>
      <c r="R58" s="100">
        <v>25000000</v>
      </c>
      <c r="S58" s="100">
        <f>+L58-P58-Q58</f>
        <v>153000000</v>
      </c>
      <c r="T58" s="100">
        <v>50000000</v>
      </c>
      <c r="U58" s="100"/>
      <c r="V58" s="100">
        <v>60000000</v>
      </c>
      <c r="W58" s="100">
        <v>60000000</v>
      </c>
      <c r="X58" s="100">
        <v>33000000</v>
      </c>
      <c r="Y58" s="100">
        <v>30000000</v>
      </c>
      <c r="Z58" s="100">
        <v>30000000</v>
      </c>
      <c r="AA58" s="97">
        <v>33000000</v>
      </c>
      <c r="AB58" s="97">
        <v>30000000</v>
      </c>
      <c r="AC58" s="97">
        <v>30000000</v>
      </c>
      <c r="AD58" s="97"/>
      <c r="AE58" s="97"/>
      <c r="AF58" s="97"/>
      <c r="AG58" s="97"/>
      <c r="AH58" s="97"/>
      <c r="AI58" s="97"/>
    </row>
    <row r="59" spans="1:35" ht="11.45" customHeight="1" x14ac:dyDescent="0.15">
      <c r="A59" s="92" t="s">
        <v>179</v>
      </c>
      <c r="B59" s="93" t="s">
        <v>180</v>
      </c>
      <c r="C59" s="94">
        <v>1011001</v>
      </c>
      <c r="D59" s="95" t="s">
        <v>181</v>
      </c>
      <c r="E59" s="93" t="s">
        <v>182</v>
      </c>
      <c r="F59" s="93" t="s">
        <v>367</v>
      </c>
      <c r="G59" s="93" t="s">
        <v>183</v>
      </c>
      <c r="H59" s="92">
        <v>3535</v>
      </c>
      <c r="I59" s="93" t="s">
        <v>188</v>
      </c>
      <c r="J59" s="163" t="s">
        <v>189</v>
      </c>
      <c r="K59" s="93" t="s">
        <v>188</v>
      </c>
      <c r="L59" s="97">
        <f t="shared" si="14"/>
        <v>220000000</v>
      </c>
      <c r="M59" s="98"/>
      <c r="N59" s="99" t="s">
        <v>192</v>
      </c>
      <c r="O59" s="99" t="s">
        <v>205</v>
      </c>
      <c r="P59" s="100"/>
      <c r="Q59" s="100">
        <v>90000000</v>
      </c>
      <c r="R59" s="100">
        <v>90000000</v>
      </c>
      <c r="S59" s="100">
        <f>+L59-P59-Q59</f>
        <v>130000000</v>
      </c>
      <c r="T59" s="81">
        <f>28000000-25000000</f>
        <v>3000000</v>
      </c>
      <c r="U59" s="81">
        <v>0</v>
      </c>
      <c r="V59" s="100">
        <v>30000000</v>
      </c>
      <c r="W59" s="100">
        <v>30000000</v>
      </c>
      <c r="X59" s="100">
        <v>50000000</v>
      </c>
      <c r="Y59" s="100">
        <v>50000000</v>
      </c>
      <c r="Z59" s="100">
        <v>0</v>
      </c>
      <c r="AA59" s="97">
        <v>50000000</v>
      </c>
      <c r="AB59" s="97">
        <v>50000000</v>
      </c>
      <c r="AC59" s="97">
        <v>0</v>
      </c>
      <c r="AD59" s="97"/>
      <c r="AE59" s="97"/>
      <c r="AF59" s="97"/>
      <c r="AG59" s="97"/>
      <c r="AH59" s="97"/>
      <c r="AI59" s="97"/>
    </row>
    <row r="60" spans="1:35" ht="13.15" customHeight="1" x14ac:dyDescent="0.15">
      <c r="A60" s="92" t="s">
        <v>179</v>
      </c>
      <c r="B60" s="93" t="s">
        <v>180</v>
      </c>
      <c r="C60" s="94">
        <v>1011001</v>
      </c>
      <c r="D60" s="95" t="s">
        <v>181</v>
      </c>
      <c r="E60" s="93" t="s">
        <v>182</v>
      </c>
      <c r="F60" s="93" t="s">
        <v>367</v>
      </c>
      <c r="G60" s="93" t="s">
        <v>183</v>
      </c>
      <c r="H60" s="92">
        <v>3535</v>
      </c>
      <c r="I60" s="93" t="s">
        <v>376</v>
      </c>
      <c r="J60" s="96" t="s">
        <v>377</v>
      </c>
      <c r="K60" s="93" t="s">
        <v>376</v>
      </c>
      <c r="L60" s="97">
        <f t="shared" si="14"/>
        <v>43000000</v>
      </c>
      <c r="M60" s="98">
        <v>31000000</v>
      </c>
      <c r="N60" s="99" t="s">
        <v>205</v>
      </c>
      <c r="O60" s="99" t="s">
        <v>187</v>
      </c>
      <c r="P60" s="100"/>
      <c r="Q60" s="100">
        <v>10000000</v>
      </c>
      <c r="R60" s="100">
        <v>10000000</v>
      </c>
      <c r="S60" s="100">
        <f>+L60-P60-Q60</f>
        <v>33000000</v>
      </c>
      <c r="T60" s="100">
        <v>0</v>
      </c>
      <c r="U60" s="100"/>
      <c r="V60" s="100">
        <v>3000000</v>
      </c>
      <c r="W60" s="100">
        <v>10000000</v>
      </c>
      <c r="X60" s="100">
        <v>10000000</v>
      </c>
      <c r="Y60" s="100">
        <v>10000000</v>
      </c>
      <c r="Z60" s="100">
        <v>10000000</v>
      </c>
      <c r="AA60" s="97">
        <v>10000000</v>
      </c>
      <c r="AB60" s="97">
        <v>10000000</v>
      </c>
      <c r="AC60" s="97">
        <v>10000000</v>
      </c>
      <c r="AD60" s="97"/>
      <c r="AE60" s="97"/>
      <c r="AF60" s="97"/>
      <c r="AG60" s="97"/>
      <c r="AH60" s="97"/>
      <c r="AI60" s="97"/>
    </row>
    <row r="61" spans="1:35" ht="11.45" customHeight="1" x14ac:dyDescent="0.15">
      <c r="A61" s="164" t="s">
        <v>378</v>
      </c>
      <c r="B61" s="129" t="s">
        <v>180</v>
      </c>
      <c r="C61" s="164" t="s">
        <v>379</v>
      </c>
      <c r="D61" s="165" t="s">
        <v>380</v>
      </c>
      <c r="E61" s="131" t="s">
        <v>182</v>
      </c>
      <c r="F61" s="166" t="s">
        <v>367</v>
      </c>
      <c r="G61" s="133">
        <v>2310000</v>
      </c>
      <c r="H61" s="167" t="s">
        <v>381</v>
      </c>
      <c r="I61" s="135" t="s">
        <v>382</v>
      </c>
      <c r="J61" s="168" t="s">
        <v>383</v>
      </c>
      <c r="K61" s="135" t="s">
        <v>382</v>
      </c>
      <c r="L61" s="100">
        <v>64044153</v>
      </c>
      <c r="M61" s="98">
        <v>62781144</v>
      </c>
      <c r="N61" s="99" t="s">
        <v>192</v>
      </c>
      <c r="O61" s="99" t="s">
        <v>205</v>
      </c>
      <c r="P61" s="100"/>
      <c r="Q61" s="100"/>
      <c r="R61" s="100"/>
      <c r="S61" s="100"/>
      <c r="T61" s="137">
        <v>25617660</v>
      </c>
      <c r="U61" s="137">
        <v>25611611</v>
      </c>
      <c r="V61" s="137">
        <f t="shared" ref="V61:V66" si="15">M61-P61-R61-U61</f>
        <v>37169533</v>
      </c>
      <c r="W61" s="137">
        <v>37169533</v>
      </c>
      <c r="X61" s="100"/>
      <c r="Y61" s="100"/>
      <c r="Z61" s="100"/>
      <c r="AA61" s="97"/>
      <c r="AB61" s="97"/>
      <c r="AC61" s="97"/>
      <c r="AD61" s="97"/>
      <c r="AE61" s="97"/>
      <c r="AF61" s="97"/>
      <c r="AG61" s="97"/>
      <c r="AH61" s="97"/>
      <c r="AI61" s="97"/>
    </row>
    <row r="62" spans="1:35" ht="24.75" x14ac:dyDescent="0.15">
      <c r="A62" s="128" t="s">
        <v>384</v>
      </c>
      <c r="B62" s="129" t="s">
        <v>180</v>
      </c>
      <c r="C62" s="128" t="s">
        <v>385</v>
      </c>
      <c r="D62" s="130" t="s">
        <v>386</v>
      </c>
      <c r="E62" s="131" t="s">
        <v>182</v>
      </c>
      <c r="F62" s="166" t="s">
        <v>367</v>
      </c>
      <c r="G62" s="133">
        <v>2310000</v>
      </c>
      <c r="H62" s="167" t="s">
        <v>381</v>
      </c>
      <c r="I62" s="135" t="s">
        <v>387</v>
      </c>
      <c r="J62" s="136" t="s">
        <v>388</v>
      </c>
      <c r="K62" s="135" t="s">
        <v>387</v>
      </c>
      <c r="L62" s="100">
        <v>52170346</v>
      </c>
      <c r="M62" s="98">
        <v>52263124</v>
      </c>
      <c r="N62" s="99" t="s">
        <v>192</v>
      </c>
      <c r="O62" s="99" t="s">
        <v>205</v>
      </c>
      <c r="P62" s="100"/>
      <c r="Q62" s="100"/>
      <c r="R62" s="100"/>
      <c r="S62" s="100"/>
      <c r="T62" s="137">
        <v>26355173</v>
      </c>
      <c r="U62" s="137">
        <v>26051632</v>
      </c>
      <c r="V62" s="137">
        <f t="shared" si="15"/>
        <v>26211492</v>
      </c>
      <c r="W62" s="137">
        <v>26211492</v>
      </c>
      <c r="X62" s="100"/>
      <c r="Y62" s="100"/>
      <c r="Z62" s="100"/>
      <c r="AA62" s="97"/>
      <c r="AB62" s="97"/>
      <c r="AC62" s="97"/>
      <c r="AD62" s="97"/>
      <c r="AE62" s="97"/>
      <c r="AF62" s="97"/>
      <c r="AG62" s="97"/>
      <c r="AH62" s="97"/>
      <c r="AI62" s="97"/>
    </row>
    <row r="63" spans="1:35" ht="15.75" customHeight="1" x14ac:dyDescent="0.15">
      <c r="A63" s="128" t="s">
        <v>389</v>
      </c>
      <c r="B63" s="129" t="s">
        <v>180</v>
      </c>
      <c r="C63" s="128" t="s">
        <v>390</v>
      </c>
      <c r="D63" s="130" t="s">
        <v>391</v>
      </c>
      <c r="E63" s="131" t="s">
        <v>182</v>
      </c>
      <c r="F63" s="166" t="s">
        <v>367</v>
      </c>
      <c r="G63" s="133">
        <v>2310000</v>
      </c>
      <c r="H63" s="169" t="s">
        <v>392</v>
      </c>
      <c r="I63" s="135" t="s">
        <v>393</v>
      </c>
      <c r="J63" s="145" t="s">
        <v>394</v>
      </c>
      <c r="K63" s="135" t="s">
        <v>393</v>
      </c>
      <c r="L63" s="100">
        <v>74157568</v>
      </c>
      <c r="M63" s="98">
        <v>73744247</v>
      </c>
      <c r="N63" s="99" t="s">
        <v>192</v>
      </c>
      <c r="O63" s="99" t="s">
        <v>205</v>
      </c>
      <c r="P63" s="100"/>
      <c r="Q63" s="100"/>
      <c r="R63" s="100"/>
      <c r="S63" s="100"/>
      <c r="T63" s="146">
        <v>29663027</v>
      </c>
      <c r="U63" s="146">
        <v>29648353</v>
      </c>
      <c r="V63" s="137">
        <f t="shared" si="15"/>
        <v>44095894</v>
      </c>
      <c r="W63" s="137">
        <v>44095894</v>
      </c>
      <c r="X63" s="100"/>
      <c r="Y63" s="100"/>
      <c r="Z63" s="100"/>
      <c r="AA63" s="97"/>
      <c r="AB63" s="97"/>
      <c r="AC63" s="97"/>
      <c r="AD63" s="97"/>
      <c r="AE63" s="97"/>
      <c r="AF63" s="97"/>
      <c r="AG63" s="97"/>
      <c r="AH63" s="97"/>
      <c r="AI63" s="97"/>
    </row>
    <row r="64" spans="1:35" ht="24.75" x14ac:dyDescent="0.15">
      <c r="A64" s="141">
        <v>111</v>
      </c>
      <c r="B64" s="129" t="s">
        <v>180</v>
      </c>
      <c r="C64" s="142">
        <v>2111001</v>
      </c>
      <c r="D64" s="130" t="s">
        <v>395</v>
      </c>
      <c r="E64" s="131" t="s">
        <v>182</v>
      </c>
      <c r="F64" s="149" t="s">
        <v>367</v>
      </c>
      <c r="G64" s="133">
        <v>2310000</v>
      </c>
      <c r="H64" s="144" t="s">
        <v>195</v>
      </c>
      <c r="I64" s="135" t="s">
        <v>396</v>
      </c>
      <c r="J64" s="150" t="s">
        <v>397</v>
      </c>
      <c r="K64" s="135" t="s">
        <v>396</v>
      </c>
      <c r="L64" s="100">
        <v>108687502</v>
      </c>
      <c r="M64" s="98">
        <v>105252950</v>
      </c>
      <c r="N64" s="99" t="s">
        <v>192</v>
      </c>
      <c r="O64" s="99" t="s">
        <v>205</v>
      </c>
      <c r="P64" s="100"/>
      <c r="Q64" s="100"/>
      <c r="R64" s="100"/>
      <c r="S64" s="100"/>
      <c r="T64" s="137">
        <v>43475001</v>
      </c>
      <c r="U64" s="137">
        <v>43475001</v>
      </c>
      <c r="V64" s="137">
        <f t="shared" si="15"/>
        <v>61777949</v>
      </c>
      <c r="W64" s="137">
        <v>61777949</v>
      </c>
      <c r="X64" s="100">
        <v>0</v>
      </c>
      <c r="Y64" s="100">
        <v>0</v>
      </c>
      <c r="Z64" s="100">
        <v>0</v>
      </c>
      <c r="AA64" s="97">
        <v>0</v>
      </c>
      <c r="AB64" s="97">
        <v>0</v>
      </c>
      <c r="AC64" s="97">
        <v>0</v>
      </c>
      <c r="AD64" s="97">
        <v>0</v>
      </c>
      <c r="AE64" s="97">
        <v>0</v>
      </c>
      <c r="AF64" s="97">
        <v>0</v>
      </c>
      <c r="AG64" s="97">
        <v>0</v>
      </c>
      <c r="AH64" s="97">
        <v>0</v>
      </c>
      <c r="AI64" s="97">
        <v>0</v>
      </c>
    </row>
    <row r="65" spans="1:35" ht="18" customHeight="1" x14ac:dyDescent="0.15">
      <c r="A65" s="131" t="s">
        <v>398</v>
      </c>
      <c r="B65" s="129" t="s">
        <v>180</v>
      </c>
      <c r="C65" s="128" t="s">
        <v>399</v>
      </c>
      <c r="D65" s="130" t="s">
        <v>400</v>
      </c>
      <c r="E65" s="131" t="s">
        <v>182</v>
      </c>
      <c r="F65" s="166" t="s">
        <v>367</v>
      </c>
      <c r="G65" s="133">
        <v>2310000</v>
      </c>
      <c r="H65" s="131" t="s">
        <v>401</v>
      </c>
      <c r="I65" s="135" t="s">
        <v>402</v>
      </c>
      <c r="J65" s="139" t="s">
        <v>403</v>
      </c>
      <c r="K65" s="135" t="s">
        <v>402</v>
      </c>
      <c r="L65" s="100">
        <v>45844310</v>
      </c>
      <c r="M65" s="98">
        <v>44923261</v>
      </c>
      <c r="N65" s="99" t="s">
        <v>192</v>
      </c>
      <c r="O65" s="99" t="s">
        <v>205</v>
      </c>
      <c r="P65" s="100"/>
      <c r="Q65" s="100"/>
      <c r="R65" s="100"/>
      <c r="S65" s="100"/>
      <c r="T65" s="137">
        <v>18337724</v>
      </c>
      <c r="U65" s="137">
        <v>6946502</v>
      </c>
      <c r="V65" s="137">
        <f t="shared" si="15"/>
        <v>37976759</v>
      </c>
      <c r="W65" s="137">
        <v>37976759</v>
      </c>
      <c r="X65" s="100">
        <v>0</v>
      </c>
      <c r="Y65" s="100">
        <v>0</v>
      </c>
      <c r="Z65" s="100">
        <v>0</v>
      </c>
      <c r="AA65" s="97">
        <v>0</v>
      </c>
      <c r="AB65" s="97">
        <v>0</v>
      </c>
      <c r="AC65" s="97">
        <v>0</v>
      </c>
      <c r="AD65" s="97">
        <v>0</v>
      </c>
      <c r="AE65" s="97">
        <v>0</v>
      </c>
      <c r="AF65" s="97">
        <v>0</v>
      </c>
      <c r="AG65" s="97">
        <v>0</v>
      </c>
      <c r="AH65" s="97">
        <v>0</v>
      </c>
      <c r="AI65" s="97">
        <v>0</v>
      </c>
    </row>
    <row r="66" spans="1:35" ht="24.75" x14ac:dyDescent="0.15">
      <c r="A66" s="131" t="s">
        <v>404</v>
      </c>
      <c r="B66" s="129" t="s">
        <v>180</v>
      </c>
      <c r="C66" s="128" t="s">
        <v>405</v>
      </c>
      <c r="D66" s="130" t="s">
        <v>406</v>
      </c>
      <c r="E66" s="131" t="s">
        <v>182</v>
      </c>
      <c r="F66" s="170" t="s">
        <v>367</v>
      </c>
      <c r="G66" s="133">
        <v>2310000</v>
      </c>
      <c r="H66" s="131" t="s">
        <v>407</v>
      </c>
      <c r="I66" s="135" t="s">
        <v>408</v>
      </c>
      <c r="J66" s="145" t="s">
        <v>409</v>
      </c>
      <c r="K66" s="135" t="s">
        <v>408</v>
      </c>
      <c r="L66" s="100">
        <v>32308340</v>
      </c>
      <c r="M66" s="98">
        <v>27560515</v>
      </c>
      <c r="N66" s="99" t="s">
        <v>192</v>
      </c>
      <c r="O66" s="99" t="s">
        <v>205</v>
      </c>
      <c r="P66" s="100"/>
      <c r="Q66" s="100"/>
      <c r="R66" s="100"/>
      <c r="S66" s="100"/>
      <c r="T66" s="137">
        <v>12923336</v>
      </c>
      <c r="U66" s="137">
        <v>12899833</v>
      </c>
      <c r="V66" s="137">
        <f t="shared" si="15"/>
        <v>14660682</v>
      </c>
      <c r="W66" s="137">
        <v>14660682</v>
      </c>
      <c r="X66" s="100">
        <v>0</v>
      </c>
      <c r="Y66" s="100">
        <v>0</v>
      </c>
      <c r="Z66" s="100">
        <v>0</v>
      </c>
      <c r="AA66" s="97">
        <v>0</v>
      </c>
      <c r="AB66" s="97">
        <v>0</v>
      </c>
      <c r="AC66" s="97">
        <v>0</v>
      </c>
      <c r="AD66" s="97">
        <v>0</v>
      </c>
      <c r="AE66" s="97">
        <v>0</v>
      </c>
      <c r="AF66" s="97">
        <v>0</v>
      </c>
      <c r="AG66" s="97">
        <v>0</v>
      </c>
      <c r="AH66" s="97">
        <v>0</v>
      </c>
      <c r="AI66" s="97">
        <v>0</v>
      </c>
    </row>
    <row r="67" spans="1:35" ht="15" customHeight="1" x14ac:dyDescent="0.15">
      <c r="A67" s="131" t="s">
        <v>331</v>
      </c>
      <c r="B67" s="129" t="s">
        <v>180</v>
      </c>
      <c r="C67" s="128" t="s">
        <v>332</v>
      </c>
      <c r="D67" s="130" t="s">
        <v>333</v>
      </c>
      <c r="E67" s="131" t="s">
        <v>182</v>
      </c>
      <c r="F67" s="170" t="s">
        <v>367</v>
      </c>
      <c r="G67" s="133">
        <v>2310000</v>
      </c>
      <c r="H67" s="131" t="s">
        <v>334</v>
      </c>
      <c r="I67" s="135" t="s">
        <v>410</v>
      </c>
      <c r="J67" s="145" t="s">
        <v>411</v>
      </c>
      <c r="K67" s="135" t="s">
        <v>410</v>
      </c>
      <c r="L67" s="100">
        <v>72781508</v>
      </c>
      <c r="M67" s="171">
        <v>69974394</v>
      </c>
      <c r="N67" s="99" t="s">
        <v>192</v>
      </c>
      <c r="O67" s="99" t="s">
        <v>205</v>
      </c>
      <c r="P67" s="100"/>
      <c r="Q67" s="100"/>
      <c r="R67" s="100"/>
      <c r="S67" s="100"/>
      <c r="T67" s="137">
        <v>112603</v>
      </c>
      <c r="U67" s="137">
        <v>0</v>
      </c>
      <c r="V67" s="137">
        <f>M67-P67-R67-U67-30000000</f>
        <v>39974394</v>
      </c>
      <c r="W67" s="137">
        <v>69971035</v>
      </c>
      <c r="X67" s="100">
        <v>0</v>
      </c>
      <c r="Y67" s="100">
        <v>0</v>
      </c>
      <c r="Z67" s="100">
        <v>0</v>
      </c>
      <c r="AA67" s="97">
        <v>0</v>
      </c>
      <c r="AB67" s="97">
        <v>0</v>
      </c>
      <c r="AC67" s="97">
        <v>0</v>
      </c>
      <c r="AD67" s="97">
        <v>0</v>
      </c>
      <c r="AE67" s="97">
        <v>0</v>
      </c>
      <c r="AF67" s="97">
        <v>0</v>
      </c>
      <c r="AG67" s="97">
        <v>0</v>
      </c>
      <c r="AH67" s="97">
        <v>0</v>
      </c>
      <c r="AI67" s="97">
        <v>0</v>
      </c>
    </row>
    <row r="68" spans="1:35" ht="18" customHeight="1" x14ac:dyDescent="0.15">
      <c r="A68" s="92" t="s">
        <v>321</v>
      </c>
      <c r="B68" s="129" t="s">
        <v>180</v>
      </c>
      <c r="C68" s="128" t="s">
        <v>322</v>
      </c>
      <c r="D68" s="130" t="s">
        <v>412</v>
      </c>
      <c r="E68" s="93" t="s">
        <v>182</v>
      </c>
      <c r="F68" s="93" t="s">
        <v>367</v>
      </c>
      <c r="G68" s="93">
        <v>2310000</v>
      </c>
      <c r="H68" s="92" t="s">
        <v>202</v>
      </c>
      <c r="I68" s="93" t="s">
        <v>413</v>
      </c>
      <c r="J68" s="172" t="s">
        <v>414</v>
      </c>
      <c r="K68" s="93" t="s">
        <v>413</v>
      </c>
      <c r="L68" s="173">
        <v>118387443</v>
      </c>
      <c r="M68" s="98">
        <v>115492240</v>
      </c>
      <c r="N68" s="99" t="s">
        <v>192</v>
      </c>
      <c r="O68" s="99" t="s">
        <v>205</v>
      </c>
      <c r="P68" s="100"/>
      <c r="Q68" s="100"/>
      <c r="R68" s="100"/>
      <c r="S68" s="100"/>
      <c r="T68" s="100">
        <v>23000000</v>
      </c>
      <c r="U68" s="174"/>
      <c r="V68" s="137">
        <f>M68-P68-R68-U68</f>
        <v>115492240</v>
      </c>
      <c r="W68" s="137">
        <v>115492240</v>
      </c>
      <c r="X68" s="100">
        <v>0</v>
      </c>
      <c r="Y68" s="100">
        <v>0</v>
      </c>
      <c r="Z68" s="100">
        <v>0</v>
      </c>
      <c r="AA68" s="97">
        <v>0</v>
      </c>
      <c r="AB68" s="97">
        <v>0</v>
      </c>
      <c r="AC68" s="97">
        <v>0</v>
      </c>
      <c r="AD68" s="97">
        <v>0</v>
      </c>
      <c r="AE68" s="97">
        <v>0</v>
      </c>
      <c r="AF68" s="97">
        <v>0</v>
      </c>
      <c r="AG68" s="97">
        <v>0</v>
      </c>
      <c r="AH68" s="97">
        <v>0</v>
      </c>
      <c r="AI68" s="97">
        <v>0</v>
      </c>
    </row>
    <row r="69" spans="1:35" ht="16.149999999999999" customHeight="1" x14ac:dyDescent="0.15">
      <c r="A69" s="92" t="s">
        <v>415</v>
      </c>
      <c r="B69" s="129" t="s">
        <v>180</v>
      </c>
      <c r="C69" s="175" t="s">
        <v>416</v>
      </c>
      <c r="D69" s="176" t="s">
        <v>417</v>
      </c>
      <c r="E69" s="177" t="s">
        <v>182</v>
      </c>
      <c r="F69" s="178">
        <v>9230</v>
      </c>
      <c r="G69" s="178">
        <v>2310000</v>
      </c>
      <c r="H69" s="179" t="s">
        <v>318</v>
      </c>
      <c r="I69" s="175" t="s">
        <v>418</v>
      </c>
      <c r="J69" s="180" t="s">
        <v>419</v>
      </c>
      <c r="K69" s="175" t="s">
        <v>418</v>
      </c>
      <c r="L69" s="173">
        <f>W69</f>
        <v>5252384</v>
      </c>
      <c r="M69" s="98">
        <v>5253384</v>
      </c>
      <c r="N69" s="99"/>
      <c r="O69" s="99"/>
      <c r="P69" s="100"/>
      <c r="Q69" s="100"/>
      <c r="R69" s="100"/>
      <c r="S69" s="100"/>
      <c r="T69" s="100"/>
      <c r="U69" s="174"/>
      <c r="V69" s="137"/>
      <c r="W69" s="100">
        <v>5252384</v>
      </c>
      <c r="X69" s="100"/>
      <c r="Y69" s="100"/>
      <c r="Z69" s="100"/>
      <c r="AA69" s="97"/>
      <c r="AB69" s="97"/>
      <c r="AC69" s="97"/>
      <c r="AD69" s="97"/>
      <c r="AE69" s="97"/>
      <c r="AF69" s="97"/>
      <c r="AG69" s="97"/>
      <c r="AH69" s="97"/>
      <c r="AI69" s="97"/>
    </row>
    <row r="70" spans="1:35" ht="12.6" customHeight="1" x14ac:dyDescent="0.15">
      <c r="A70" s="181" t="s">
        <v>179</v>
      </c>
      <c r="B70" s="181" t="s">
        <v>180</v>
      </c>
      <c r="C70" s="182" t="s">
        <v>420</v>
      </c>
      <c r="D70" s="95" t="s">
        <v>181</v>
      </c>
      <c r="E70" s="161" t="s">
        <v>421</v>
      </c>
      <c r="F70" s="93" t="s">
        <v>367</v>
      </c>
      <c r="G70" s="93">
        <v>2310000</v>
      </c>
      <c r="H70" s="182" t="s">
        <v>202</v>
      </c>
      <c r="I70" s="128" t="s">
        <v>422</v>
      </c>
      <c r="J70" s="140" t="s">
        <v>423</v>
      </c>
      <c r="K70" s="128" t="s">
        <v>422</v>
      </c>
      <c r="L70" s="100">
        <v>21564264</v>
      </c>
      <c r="M70" s="110"/>
      <c r="N70" s="99"/>
      <c r="O70" s="99"/>
      <c r="P70" s="100"/>
      <c r="Q70" s="100"/>
      <c r="R70" s="100"/>
      <c r="S70" s="100"/>
      <c r="T70" s="100"/>
      <c r="U70" s="100">
        <v>0</v>
      </c>
      <c r="V70" s="100">
        <v>50000000</v>
      </c>
      <c r="W70" s="100">
        <v>21564264</v>
      </c>
      <c r="X70" s="100">
        <v>0</v>
      </c>
      <c r="Y70" s="100">
        <v>0</v>
      </c>
      <c r="Z70" s="100">
        <v>0</v>
      </c>
      <c r="AA70" s="97">
        <v>0</v>
      </c>
      <c r="AB70" s="97">
        <v>0</v>
      </c>
      <c r="AC70" s="97">
        <v>0</v>
      </c>
      <c r="AD70" s="97">
        <v>0</v>
      </c>
      <c r="AE70" s="97">
        <v>0</v>
      </c>
      <c r="AF70" s="97">
        <v>0</v>
      </c>
      <c r="AG70" s="97">
        <v>0</v>
      </c>
      <c r="AH70" s="97">
        <v>0</v>
      </c>
      <c r="AI70" s="97">
        <v>0</v>
      </c>
    </row>
    <row r="71" spans="1:35" ht="19.899999999999999" customHeight="1" x14ac:dyDescent="0.15">
      <c r="A71" s="183" t="s">
        <v>179</v>
      </c>
      <c r="B71" s="183" t="s">
        <v>180</v>
      </c>
      <c r="C71" s="183" t="s">
        <v>420</v>
      </c>
      <c r="D71" s="183" t="s">
        <v>424</v>
      </c>
      <c r="E71" s="184" t="s">
        <v>421</v>
      </c>
      <c r="F71" s="183" t="s">
        <v>367</v>
      </c>
      <c r="G71" s="185">
        <v>2310000</v>
      </c>
      <c r="H71" s="186" t="s">
        <v>202</v>
      </c>
      <c r="I71" s="187"/>
      <c r="J71" s="188" t="s">
        <v>425</v>
      </c>
      <c r="K71" s="189" t="s">
        <v>426</v>
      </c>
      <c r="L71" s="100">
        <f>W71</f>
        <v>23183352</v>
      </c>
      <c r="M71" s="110"/>
      <c r="N71" s="99"/>
      <c r="O71" s="99"/>
      <c r="P71" s="100"/>
      <c r="Q71" s="100"/>
      <c r="R71" s="100"/>
      <c r="S71" s="100"/>
      <c r="T71" s="100"/>
      <c r="U71" s="100"/>
      <c r="V71" s="100">
        <v>0</v>
      </c>
      <c r="W71" s="190">
        <v>23183352</v>
      </c>
      <c r="X71" s="100"/>
      <c r="Y71" s="100"/>
      <c r="Z71" s="100"/>
      <c r="AA71" s="97"/>
      <c r="AB71" s="97"/>
      <c r="AC71" s="97"/>
      <c r="AD71" s="97"/>
      <c r="AE71" s="97"/>
      <c r="AF71" s="97"/>
      <c r="AG71" s="97"/>
      <c r="AH71" s="97"/>
      <c r="AI71" s="97"/>
    </row>
    <row r="72" spans="1:35" ht="41.25" x14ac:dyDescent="0.15">
      <c r="A72" s="118" t="s">
        <v>177</v>
      </c>
      <c r="B72" s="119" t="s">
        <v>180</v>
      </c>
      <c r="C72" s="119"/>
      <c r="D72" s="120" t="s">
        <v>427</v>
      </c>
      <c r="E72" s="121"/>
      <c r="F72" s="121" t="s">
        <v>428</v>
      </c>
      <c r="G72" s="118"/>
      <c r="H72" s="121"/>
      <c r="I72" s="118"/>
      <c r="J72" s="120" t="s">
        <v>427</v>
      </c>
      <c r="K72" s="122" t="s">
        <v>428</v>
      </c>
      <c r="L72" s="80">
        <f>SUM(L73:L74)</f>
        <v>1559600000</v>
      </c>
      <c r="M72" s="80"/>
      <c r="N72" s="80"/>
      <c r="O72" s="80"/>
      <c r="P72" s="80">
        <f>SUBTOTAL(9,P73:P86)</f>
        <v>366492683</v>
      </c>
      <c r="Q72" s="80">
        <f>SUBTOTAL(9,Q73:Q86)</f>
        <v>547781329</v>
      </c>
      <c r="R72" s="80">
        <f>SUBTOTAL(9,R73:R86)</f>
        <v>537965451</v>
      </c>
      <c r="S72" s="80">
        <f>SUBTOTAL(9,S73:S86)</f>
        <v>850819731</v>
      </c>
      <c r="T72" s="80">
        <f>SUBTOTAL(9,T73:T78)</f>
        <v>50000000</v>
      </c>
      <c r="U72" s="80">
        <f>SUBTOTAL(9,U73:U78)</f>
        <v>10904573</v>
      </c>
      <c r="V72" s="80">
        <f>SUBTOTAL(9,V73:V81)</f>
        <v>510000000</v>
      </c>
      <c r="W72" s="81">
        <f>SUBTOTAL(9,W73:W82)</f>
        <v>510000000</v>
      </c>
      <c r="X72" s="80">
        <f t="shared" ref="X72:AI72" si="16">SUBTOTAL(9,X73:X81)</f>
        <v>630000000</v>
      </c>
      <c r="Y72" s="80">
        <f t="shared" si="16"/>
        <v>830000000</v>
      </c>
      <c r="Z72" s="80">
        <f t="shared" si="16"/>
        <v>830000000</v>
      </c>
      <c r="AA72" s="123">
        <f t="shared" si="16"/>
        <v>530000000</v>
      </c>
      <c r="AB72" s="123">
        <f t="shared" si="16"/>
        <v>730000000</v>
      </c>
      <c r="AC72" s="123">
        <f t="shared" si="16"/>
        <v>730000000</v>
      </c>
      <c r="AD72" s="123">
        <f t="shared" si="16"/>
        <v>100000000</v>
      </c>
      <c r="AE72" s="123">
        <f t="shared" si="16"/>
        <v>100000000</v>
      </c>
      <c r="AF72" s="123">
        <f t="shared" si="16"/>
        <v>100000000</v>
      </c>
      <c r="AG72" s="123">
        <f t="shared" si="16"/>
        <v>0</v>
      </c>
      <c r="AH72" s="123">
        <f t="shared" si="16"/>
        <v>0</v>
      </c>
      <c r="AI72" s="123">
        <f t="shared" si="16"/>
        <v>0</v>
      </c>
    </row>
    <row r="73" spans="1:35" ht="18" customHeight="1" x14ac:dyDescent="0.15">
      <c r="A73" s="92" t="s">
        <v>179</v>
      </c>
      <c r="B73" s="93">
        <v>11</v>
      </c>
      <c r="C73" s="94">
        <v>1011001</v>
      </c>
      <c r="D73" s="95" t="s">
        <v>181</v>
      </c>
      <c r="E73" s="155" t="s">
        <v>182</v>
      </c>
      <c r="F73" s="155" t="s">
        <v>428</v>
      </c>
      <c r="G73" s="93">
        <v>2310000</v>
      </c>
      <c r="H73" s="92">
        <v>3535</v>
      </c>
      <c r="I73" s="191" t="s">
        <v>429</v>
      </c>
      <c r="J73" s="162" t="s">
        <v>430</v>
      </c>
      <c r="K73" s="191" t="s">
        <v>429</v>
      </c>
      <c r="L73" s="100">
        <f t="shared" ref="L73:L78" si="17">P73+R73+U73+V73+X73+Z73</f>
        <v>1534600000</v>
      </c>
      <c r="M73" s="110">
        <v>1340000000</v>
      </c>
      <c r="N73" s="192" t="s">
        <v>192</v>
      </c>
      <c r="O73" s="192" t="s">
        <v>192</v>
      </c>
      <c r="P73" s="81">
        <v>0</v>
      </c>
      <c r="Q73" s="81">
        <v>0</v>
      </c>
      <c r="R73" s="81">
        <v>0</v>
      </c>
      <c r="S73" s="81"/>
      <c r="T73" s="81">
        <v>0</v>
      </c>
      <c r="U73" s="81"/>
      <c r="V73" s="81">
        <f>280000000-5400000</f>
        <v>274600000</v>
      </c>
      <c r="W73" s="81">
        <v>262390639</v>
      </c>
      <c r="X73" s="100">
        <v>530000000</v>
      </c>
      <c r="Y73" s="100">
        <v>730000000</v>
      </c>
      <c r="Z73" s="100">
        <v>730000000</v>
      </c>
      <c r="AA73" s="97">
        <v>530000000</v>
      </c>
      <c r="AB73" s="97">
        <v>730000000</v>
      </c>
      <c r="AC73" s="97">
        <v>730000000</v>
      </c>
      <c r="AD73" s="97"/>
      <c r="AE73" s="97"/>
      <c r="AF73" s="97"/>
      <c r="AG73" s="97"/>
      <c r="AH73" s="97"/>
      <c r="AI73" s="97"/>
    </row>
    <row r="74" spans="1:35" ht="24.75" x14ac:dyDescent="0.15">
      <c r="A74" s="92" t="s">
        <v>179</v>
      </c>
      <c r="B74" s="93" t="s">
        <v>180</v>
      </c>
      <c r="C74" s="94">
        <v>1011001</v>
      </c>
      <c r="D74" s="95" t="s">
        <v>181</v>
      </c>
      <c r="E74" s="155" t="s">
        <v>182</v>
      </c>
      <c r="F74" s="155" t="s">
        <v>428</v>
      </c>
      <c r="G74" s="93">
        <v>2310000</v>
      </c>
      <c r="H74" s="108">
        <v>3535</v>
      </c>
      <c r="I74" s="109" t="s">
        <v>431</v>
      </c>
      <c r="J74" s="96" t="s">
        <v>432</v>
      </c>
      <c r="K74" s="109" t="s">
        <v>431</v>
      </c>
      <c r="L74" s="100">
        <f t="shared" si="17"/>
        <v>25000000</v>
      </c>
      <c r="M74" s="98">
        <v>165000000</v>
      </c>
      <c r="N74" s="99" t="s">
        <v>433</v>
      </c>
      <c r="O74" s="99" t="s">
        <v>187</v>
      </c>
      <c r="P74" s="100">
        <v>0</v>
      </c>
      <c r="Q74" s="100">
        <v>15000000</v>
      </c>
      <c r="R74" s="100">
        <v>15000000</v>
      </c>
      <c r="S74" s="100">
        <f>+L74-P74-Q74</f>
        <v>10000000</v>
      </c>
      <c r="T74" s="100">
        <v>15000000</v>
      </c>
      <c r="U74" s="100">
        <v>0</v>
      </c>
      <c r="V74" s="100">
        <v>10000000</v>
      </c>
      <c r="W74" s="100">
        <v>0</v>
      </c>
      <c r="X74" s="100">
        <v>0</v>
      </c>
      <c r="Y74" s="100">
        <v>0</v>
      </c>
      <c r="Z74" s="100">
        <v>0</v>
      </c>
      <c r="AA74" s="97">
        <v>0</v>
      </c>
      <c r="AB74" s="97">
        <v>0</v>
      </c>
      <c r="AC74" s="97">
        <v>0</v>
      </c>
      <c r="AD74" s="97">
        <v>0</v>
      </c>
      <c r="AE74" s="97">
        <v>0</v>
      </c>
      <c r="AF74" s="97">
        <v>0</v>
      </c>
      <c r="AG74" s="97">
        <v>0</v>
      </c>
      <c r="AH74" s="97">
        <v>0</v>
      </c>
      <c r="AI74" s="97">
        <v>0</v>
      </c>
    </row>
    <row r="75" spans="1:35" ht="24.75" x14ac:dyDescent="0.15">
      <c r="A75" s="92" t="s">
        <v>179</v>
      </c>
      <c r="B75" s="93" t="s">
        <v>180</v>
      </c>
      <c r="C75" s="94">
        <v>1011001</v>
      </c>
      <c r="D75" s="95" t="s">
        <v>181</v>
      </c>
      <c r="E75" s="155" t="s">
        <v>182</v>
      </c>
      <c r="F75" s="155" t="s">
        <v>428</v>
      </c>
      <c r="G75" s="93">
        <v>2310000</v>
      </c>
      <c r="H75" s="92">
        <v>3535</v>
      </c>
      <c r="I75" s="108" t="s">
        <v>434</v>
      </c>
      <c r="J75" s="96" t="s">
        <v>435</v>
      </c>
      <c r="K75" s="108" t="s">
        <v>434</v>
      </c>
      <c r="L75" s="100">
        <f t="shared" si="17"/>
        <v>50000000</v>
      </c>
      <c r="M75" s="98">
        <v>150000000</v>
      </c>
      <c r="N75" s="99" t="s">
        <v>205</v>
      </c>
      <c r="O75" s="99" t="s">
        <v>187</v>
      </c>
      <c r="P75" s="100">
        <v>0</v>
      </c>
      <c r="Q75" s="100">
        <v>0</v>
      </c>
      <c r="R75" s="100">
        <v>0</v>
      </c>
      <c r="S75" s="100"/>
      <c r="T75" s="100">
        <v>0</v>
      </c>
      <c r="U75" s="100"/>
      <c r="V75" s="100">
        <v>50000000</v>
      </c>
      <c r="W75" s="100">
        <v>0</v>
      </c>
      <c r="X75" s="100"/>
      <c r="Y75" s="100"/>
      <c r="Z75" s="100"/>
      <c r="AA75" s="97"/>
      <c r="AB75" s="97"/>
      <c r="AC75" s="97"/>
      <c r="AD75" s="97"/>
      <c r="AE75" s="97"/>
      <c r="AF75" s="97"/>
      <c r="AG75" s="97"/>
      <c r="AH75" s="97"/>
      <c r="AI75" s="97"/>
    </row>
    <row r="76" spans="1:35" ht="13.9" customHeight="1" x14ac:dyDescent="0.15">
      <c r="A76" s="92" t="s">
        <v>179</v>
      </c>
      <c r="B76" s="93" t="s">
        <v>180</v>
      </c>
      <c r="C76" s="94" t="s">
        <v>436</v>
      </c>
      <c r="D76" s="193" t="s">
        <v>437</v>
      </c>
      <c r="E76" s="155" t="s">
        <v>182</v>
      </c>
      <c r="F76" s="155" t="s">
        <v>428</v>
      </c>
      <c r="G76" s="93">
        <v>2310000</v>
      </c>
      <c r="H76" s="108">
        <v>3535</v>
      </c>
      <c r="I76" s="109" t="s">
        <v>438</v>
      </c>
      <c r="J76" s="163" t="s">
        <v>439</v>
      </c>
      <c r="K76" s="109" t="s">
        <v>438</v>
      </c>
      <c r="L76" s="100">
        <f t="shared" si="17"/>
        <v>25422842</v>
      </c>
      <c r="M76" s="98">
        <v>20000000</v>
      </c>
      <c r="N76" s="99" t="s">
        <v>360</v>
      </c>
      <c r="O76" s="99" t="s">
        <v>187</v>
      </c>
      <c r="P76" s="100">
        <v>0</v>
      </c>
      <c r="Q76" s="100">
        <v>20000000</v>
      </c>
      <c r="R76" s="100">
        <v>20000000</v>
      </c>
      <c r="S76" s="100"/>
      <c r="T76" s="100">
        <v>15000000</v>
      </c>
      <c r="U76" s="100">
        <v>22842</v>
      </c>
      <c r="V76" s="100">
        <v>5400000</v>
      </c>
      <c r="W76" s="100">
        <v>5400000</v>
      </c>
      <c r="X76" s="100">
        <v>0</v>
      </c>
      <c r="Y76" s="100">
        <v>0</v>
      </c>
      <c r="Z76" s="100">
        <v>0</v>
      </c>
      <c r="AA76" s="97">
        <v>0</v>
      </c>
      <c r="AB76" s="97">
        <v>0</v>
      </c>
      <c r="AC76" s="97">
        <v>0</v>
      </c>
      <c r="AD76" s="97">
        <v>0</v>
      </c>
      <c r="AE76" s="97">
        <v>0</v>
      </c>
      <c r="AF76" s="97">
        <v>0</v>
      </c>
      <c r="AG76" s="97">
        <v>0</v>
      </c>
      <c r="AH76" s="97">
        <v>0</v>
      </c>
      <c r="AI76" s="97">
        <v>0</v>
      </c>
    </row>
    <row r="77" spans="1:35" ht="12.6" customHeight="1" x14ac:dyDescent="0.15">
      <c r="A77" s="92" t="s">
        <v>179</v>
      </c>
      <c r="B77" s="93" t="s">
        <v>180</v>
      </c>
      <c r="C77" s="94" t="s">
        <v>436</v>
      </c>
      <c r="D77" s="193" t="s">
        <v>437</v>
      </c>
      <c r="E77" s="155" t="s">
        <v>182</v>
      </c>
      <c r="F77" s="155" t="s">
        <v>428</v>
      </c>
      <c r="G77" s="93">
        <v>2310000</v>
      </c>
      <c r="H77" s="92">
        <v>3535</v>
      </c>
      <c r="I77" s="109" t="s">
        <v>440</v>
      </c>
      <c r="J77" s="96" t="s">
        <v>441</v>
      </c>
      <c r="K77" s="109" t="s">
        <v>440</v>
      </c>
      <c r="L77" s="100">
        <f t="shared" si="17"/>
        <v>50881731</v>
      </c>
      <c r="M77" s="98">
        <v>80000000</v>
      </c>
      <c r="N77" s="99" t="s">
        <v>360</v>
      </c>
      <c r="O77" s="99" t="s">
        <v>187</v>
      </c>
      <c r="P77" s="100">
        <v>0</v>
      </c>
      <c r="Q77" s="100">
        <v>20000000</v>
      </c>
      <c r="R77" s="100">
        <v>20000000</v>
      </c>
      <c r="S77" s="100">
        <f>+L77-P77-Q77</f>
        <v>30881731</v>
      </c>
      <c r="T77" s="100">
        <v>20000000</v>
      </c>
      <c r="U77" s="100">
        <v>10881731</v>
      </c>
      <c r="V77" s="100">
        <v>20000000</v>
      </c>
      <c r="W77" s="100">
        <v>20000000</v>
      </c>
      <c r="X77" s="100">
        <v>0</v>
      </c>
      <c r="Y77" s="100">
        <v>0</v>
      </c>
      <c r="Z77" s="100">
        <v>0</v>
      </c>
      <c r="AA77" s="97">
        <v>0</v>
      </c>
      <c r="AB77" s="97">
        <v>0</v>
      </c>
      <c r="AC77" s="97">
        <v>0</v>
      </c>
      <c r="AD77" s="97">
        <v>0</v>
      </c>
      <c r="AE77" s="97">
        <v>0</v>
      </c>
      <c r="AF77" s="97">
        <v>0</v>
      </c>
      <c r="AG77" s="97">
        <v>0</v>
      </c>
      <c r="AH77" s="97">
        <v>0</v>
      </c>
      <c r="AI77" s="97">
        <v>0</v>
      </c>
    </row>
    <row r="78" spans="1:35" ht="15.75" customHeight="1" x14ac:dyDescent="0.15">
      <c r="A78" s="92" t="s">
        <v>179</v>
      </c>
      <c r="B78" s="93">
        <v>11</v>
      </c>
      <c r="C78" s="94">
        <v>1011150</v>
      </c>
      <c r="D78" s="194" t="s">
        <v>442</v>
      </c>
      <c r="E78" s="93" t="s">
        <v>182</v>
      </c>
      <c r="F78" s="155" t="s">
        <v>428</v>
      </c>
      <c r="G78" s="93">
        <v>2310000</v>
      </c>
      <c r="H78" s="102" t="s">
        <v>256</v>
      </c>
      <c r="I78" s="93" t="s">
        <v>188</v>
      </c>
      <c r="J78" s="117" t="s">
        <v>443</v>
      </c>
      <c r="K78" s="93" t="s">
        <v>188</v>
      </c>
      <c r="L78" s="100">
        <f t="shared" si="17"/>
        <v>305000000</v>
      </c>
      <c r="M78" s="98">
        <v>255000000</v>
      </c>
      <c r="N78" s="99" t="s">
        <v>444</v>
      </c>
      <c r="O78" s="99" t="s">
        <v>186</v>
      </c>
      <c r="P78" s="100">
        <v>164218671</v>
      </c>
      <c r="Q78" s="100">
        <v>90781329</v>
      </c>
      <c r="R78" s="100">
        <v>90781329</v>
      </c>
      <c r="S78" s="100">
        <f>+L78-P78-Q78</f>
        <v>50000000</v>
      </c>
      <c r="T78" s="100">
        <v>0</v>
      </c>
      <c r="U78" s="100"/>
      <c r="V78" s="100">
        <v>50000000</v>
      </c>
      <c r="W78" s="100">
        <v>50000000</v>
      </c>
      <c r="X78" s="100">
        <v>0</v>
      </c>
      <c r="Y78" s="100">
        <v>0</v>
      </c>
      <c r="Z78" s="100">
        <v>0</v>
      </c>
      <c r="AA78" s="97">
        <v>0</v>
      </c>
      <c r="AB78" s="97">
        <v>0</v>
      </c>
      <c r="AC78" s="97">
        <v>0</v>
      </c>
      <c r="AD78" s="97">
        <v>0</v>
      </c>
      <c r="AE78" s="97">
        <v>0</v>
      </c>
      <c r="AF78" s="97">
        <v>0</v>
      </c>
      <c r="AG78" s="97">
        <v>0</v>
      </c>
      <c r="AH78" s="97">
        <v>0</v>
      </c>
      <c r="AI78" s="97">
        <v>0</v>
      </c>
    </row>
    <row r="79" spans="1:35" x14ac:dyDescent="0.15">
      <c r="A79" s="195" t="s">
        <v>179</v>
      </c>
      <c r="B79" s="196" t="s">
        <v>180</v>
      </c>
      <c r="C79" s="196" t="s">
        <v>420</v>
      </c>
      <c r="D79" s="95" t="s">
        <v>181</v>
      </c>
      <c r="E79" s="196" t="s">
        <v>445</v>
      </c>
      <c r="F79" s="196" t="s">
        <v>428</v>
      </c>
      <c r="G79" s="93">
        <v>2310000</v>
      </c>
      <c r="H79" s="196" t="s">
        <v>446</v>
      </c>
      <c r="I79" s="196" t="s">
        <v>447</v>
      </c>
      <c r="J79" s="197" t="s">
        <v>448</v>
      </c>
      <c r="K79" s="196" t="s">
        <v>447</v>
      </c>
      <c r="L79" s="198">
        <v>10250000</v>
      </c>
      <c r="M79" s="81"/>
      <c r="N79" s="81"/>
      <c r="O79" s="81"/>
      <c r="P79" s="81"/>
      <c r="Q79" s="81"/>
      <c r="R79" s="81"/>
      <c r="S79" s="81"/>
      <c r="T79" s="81"/>
      <c r="U79" s="81"/>
      <c r="V79" s="100">
        <v>10250000</v>
      </c>
      <c r="W79" s="100">
        <v>10250000</v>
      </c>
      <c r="X79" s="81"/>
      <c r="Y79" s="81"/>
      <c r="Z79" s="81"/>
      <c r="AA79" s="123"/>
      <c r="AB79" s="123"/>
      <c r="AC79" s="123"/>
      <c r="AD79" s="123"/>
      <c r="AE79" s="123"/>
      <c r="AF79" s="123"/>
      <c r="AG79" s="123"/>
      <c r="AH79" s="123"/>
      <c r="AI79" s="123"/>
    </row>
    <row r="80" spans="1:35" x14ac:dyDescent="0.15">
      <c r="A80" s="195" t="s">
        <v>179</v>
      </c>
      <c r="B80" s="196" t="s">
        <v>180</v>
      </c>
      <c r="C80" s="196" t="s">
        <v>420</v>
      </c>
      <c r="D80" s="95" t="s">
        <v>181</v>
      </c>
      <c r="E80" s="196" t="s">
        <v>445</v>
      </c>
      <c r="F80" s="196" t="s">
        <v>428</v>
      </c>
      <c r="G80" s="93">
        <v>2310000</v>
      </c>
      <c r="H80" s="196" t="s">
        <v>446</v>
      </c>
      <c r="I80" s="196" t="s">
        <v>449</v>
      </c>
      <c r="J80" s="197" t="s">
        <v>450</v>
      </c>
      <c r="K80" s="196" t="s">
        <v>449</v>
      </c>
      <c r="L80" s="198">
        <v>800000</v>
      </c>
      <c r="M80" s="81"/>
      <c r="N80" s="81"/>
      <c r="O80" s="81"/>
      <c r="P80" s="81"/>
      <c r="Q80" s="81"/>
      <c r="R80" s="81"/>
      <c r="S80" s="81"/>
      <c r="T80" s="81"/>
      <c r="U80" s="81"/>
      <c r="V80" s="100">
        <v>800000</v>
      </c>
      <c r="W80" s="100">
        <v>800000</v>
      </c>
      <c r="X80" s="81"/>
      <c r="Y80" s="81"/>
      <c r="Z80" s="81"/>
      <c r="AA80" s="123"/>
      <c r="AB80" s="123"/>
      <c r="AC80" s="123"/>
      <c r="AD80" s="123"/>
      <c r="AE80" s="123"/>
      <c r="AF80" s="123"/>
      <c r="AG80" s="123"/>
      <c r="AH80" s="123"/>
      <c r="AI80" s="123"/>
    </row>
    <row r="81" spans="1:35" ht="22.9" customHeight="1" x14ac:dyDescent="0.15">
      <c r="A81" s="92" t="s">
        <v>179</v>
      </c>
      <c r="B81" s="93" t="s">
        <v>180</v>
      </c>
      <c r="C81" s="94">
        <v>1011001</v>
      </c>
      <c r="D81" s="95" t="s">
        <v>181</v>
      </c>
      <c r="E81" s="199" t="s">
        <v>445</v>
      </c>
      <c r="F81" s="155" t="s">
        <v>428</v>
      </c>
      <c r="G81" s="93">
        <v>2310000</v>
      </c>
      <c r="H81" s="92">
        <v>3535</v>
      </c>
      <c r="I81" s="200" t="s">
        <v>451</v>
      </c>
      <c r="J81" s="96" t="s">
        <v>452</v>
      </c>
      <c r="K81" s="200" t="s">
        <v>451</v>
      </c>
      <c r="L81" s="100">
        <f>P81+R81+U81+V81+X81+Z81</f>
        <v>288950000</v>
      </c>
      <c r="M81" s="98">
        <v>300000000</v>
      </c>
      <c r="N81" s="99" t="s">
        <v>360</v>
      </c>
      <c r="O81" s="99" t="s">
        <v>187</v>
      </c>
      <c r="P81" s="100">
        <v>0</v>
      </c>
      <c r="Q81" s="100"/>
      <c r="R81" s="100"/>
      <c r="S81" s="100"/>
      <c r="T81" s="100">
        <v>30000000</v>
      </c>
      <c r="U81" s="100"/>
      <c r="V81" s="100">
        <f>100000000-11050000</f>
        <v>88950000</v>
      </c>
      <c r="W81" s="100">
        <f>100000000-11050000</f>
        <v>88950000</v>
      </c>
      <c r="X81" s="100">
        <v>100000000</v>
      </c>
      <c r="Y81" s="100">
        <v>100000000</v>
      </c>
      <c r="Z81" s="100">
        <v>100000000</v>
      </c>
      <c r="AA81" s="97"/>
      <c r="AB81" s="97"/>
      <c r="AC81" s="97"/>
      <c r="AD81" s="97">
        <v>100000000</v>
      </c>
      <c r="AE81" s="97">
        <v>100000000</v>
      </c>
      <c r="AF81" s="97">
        <v>100000000</v>
      </c>
      <c r="AG81" s="97"/>
      <c r="AH81" s="97"/>
      <c r="AI81" s="97"/>
    </row>
    <row r="82" spans="1:35" ht="19.899999999999999" customHeight="1" x14ac:dyDescent="0.15">
      <c r="A82" s="201" t="s">
        <v>179</v>
      </c>
      <c r="B82" s="185" t="s">
        <v>180</v>
      </c>
      <c r="C82" s="202">
        <v>1011041</v>
      </c>
      <c r="D82" s="203" t="s">
        <v>453</v>
      </c>
      <c r="E82" s="204">
        <v>11</v>
      </c>
      <c r="F82" s="205" t="s">
        <v>428</v>
      </c>
      <c r="G82" s="185">
        <v>2310000</v>
      </c>
      <c r="H82" s="47">
        <v>3535</v>
      </c>
      <c r="I82" s="206" t="s">
        <v>454</v>
      </c>
      <c r="J82" s="207" t="s">
        <v>455</v>
      </c>
      <c r="K82" s="206" t="s">
        <v>454</v>
      </c>
      <c r="L82" s="101">
        <v>75000000</v>
      </c>
      <c r="M82" s="208">
        <v>2790639</v>
      </c>
      <c r="N82" s="99"/>
      <c r="O82" s="99"/>
      <c r="P82" s="100"/>
      <c r="Q82" s="100"/>
      <c r="R82" s="100"/>
      <c r="S82" s="100"/>
      <c r="T82" s="100"/>
      <c r="U82" s="100">
        <v>2790639</v>
      </c>
      <c r="V82" s="101">
        <v>0</v>
      </c>
      <c r="W82" s="190">
        <v>72209361</v>
      </c>
      <c r="X82" s="100"/>
      <c r="Y82" s="100"/>
      <c r="Z82" s="100"/>
      <c r="AA82" s="97"/>
      <c r="AB82" s="97"/>
      <c r="AC82" s="97"/>
      <c r="AD82" s="97"/>
      <c r="AE82" s="97"/>
      <c r="AF82" s="97"/>
      <c r="AG82" s="97"/>
      <c r="AH82" s="97"/>
      <c r="AI82" s="97"/>
    </row>
    <row r="83" spans="1:35" ht="15.6" customHeight="1" x14ac:dyDescent="0.15">
      <c r="A83" s="209" t="s">
        <v>177</v>
      </c>
      <c r="B83" s="210">
        <v>11</v>
      </c>
      <c r="C83" s="210"/>
      <c r="D83" s="211" t="s">
        <v>456</v>
      </c>
      <c r="E83" s="212"/>
      <c r="F83" s="212" t="s">
        <v>457</v>
      </c>
      <c r="G83" s="210"/>
      <c r="H83" s="213"/>
      <c r="I83" s="210"/>
      <c r="J83" s="211"/>
      <c r="K83" s="212" t="s">
        <v>457</v>
      </c>
      <c r="L83" s="80">
        <f t="shared" ref="L83:W83" si="18">SUM(L84:L85)</f>
        <v>1132122000</v>
      </c>
      <c r="M83" s="80">
        <f t="shared" si="18"/>
        <v>113000000</v>
      </c>
      <c r="N83" s="80">
        <f t="shared" si="18"/>
        <v>0</v>
      </c>
      <c r="O83" s="214">
        <f t="shared" si="18"/>
        <v>0</v>
      </c>
      <c r="P83" s="214">
        <f t="shared" si="18"/>
        <v>0</v>
      </c>
      <c r="Q83" s="214">
        <f t="shared" si="18"/>
        <v>0</v>
      </c>
      <c r="R83" s="214">
        <f t="shared" si="18"/>
        <v>0</v>
      </c>
      <c r="S83" s="214">
        <f t="shared" si="18"/>
        <v>0</v>
      </c>
      <c r="T83" s="80">
        <f t="shared" si="18"/>
        <v>50000000</v>
      </c>
      <c r="U83" s="80">
        <f t="shared" si="18"/>
        <v>0</v>
      </c>
      <c r="V83" s="80">
        <f t="shared" si="18"/>
        <v>162122000</v>
      </c>
      <c r="W83" s="81">
        <f t="shared" si="18"/>
        <v>162122000</v>
      </c>
      <c r="X83" s="80">
        <f t="shared" ref="X83:AI83" si="19">SUM(X84:X85)</f>
        <v>470000000</v>
      </c>
      <c r="Y83" s="80">
        <f t="shared" si="19"/>
        <v>500000000</v>
      </c>
      <c r="Z83" s="80">
        <f t="shared" si="19"/>
        <v>500000000</v>
      </c>
      <c r="AA83" s="123">
        <f t="shared" si="19"/>
        <v>370000000</v>
      </c>
      <c r="AB83" s="123">
        <f t="shared" si="19"/>
        <v>400000000</v>
      </c>
      <c r="AC83" s="123">
        <f t="shared" si="19"/>
        <v>400000000</v>
      </c>
      <c r="AD83" s="123">
        <f t="shared" si="19"/>
        <v>100000000</v>
      </c>
      <c r="AE83" s="123">
        <f t="shared" si="19"/>
        <v>100000000</v>
      </c>
      <c r="AF83" s="123">
        <f t="shared" si="19"/>
        <v>100000000</v>
      </c>
      <c r="AG83" s="123">
        <f t="shared" si="19"/>
        <v>0</v>
      </c>
      <c r="AH83" s="123">
        <f t="shared" si="19"/>
        <v>0</v>
      </c>
      <c r="AI83" s="123">
        <f t="shared" si="19"/>
        <v>0</v>
      </c>
    </row>
    <row r="84" spans="1:35" ht="21.6" customHeight="1" x14ac:dyDescent="0.15">
      <c r="A84" s="92" t="s">
        <v>179</v>
      </c>
      <c r="B84" s="93" t="s">
        <v>180</v>
      </c>
      <c r="C84" s="215" t="s">
        <v>458</v>
      </c>
      <c r="D84" s="216" t="s">
        <v>459</v>
      </c>
      <c r="E84" s="155" t="s">
        <v>182</v>
      </c>
      <c r="F84" s="155" t="s">
        <v>457</v>
      </c>
      <c r="G84" s="93">
        <v>2310000</v>
      </c>
      <c r="H84" s="92">
        <v>3535</v>
      </c>
      <c r="I84" s="108" t="s">
        <v>460</v>
      </c>
      <c r="J84" s="96" t="s">
        <v>461</v>
      </c>
      <c r="K84" s="108" t="s">
        <v>460</v>
      </c>
      <c r="L84" s="100">
        <f>P84+R84+U84+V84+X84+Z84</f>
        <v>832122000</v>
      </c>
      <c r="M84" s="98">
        <v>50000000</v>
      </c>
      <c r="N84" s="99" t="s">
        <v>192</v>
      </c>
      <c r="O84" s="99" t="s">
        <v>187</v>
      </c>
      <c r="P84" s="100"/>
      <c r="Q84" s="100"/>
      <c r="R84" s="100"/>
      <c r="S84" s="100"/>
      <c r="T84" s="100">
        <v>50000000</v>
      </c>
      <c r="U84" s="100"/>
      <c r="V84" s="100">
        <v>62122000</v>
      </c>
      <c r="W84" s="100">
        <v>62122000</v>
      </c>
      <c r="X84" s="100">
        <v>370000000</v>
      </c>
      <c r="Y84" s="100">
        <v>400000000</v>
      </c>
      <c r="Z84" s="100">
        <v>400000000</v>
      </c>
      <c r="AA84" s="97">
        <v>370000000</v>
      </c>
      <c r="AB84" s="97">
        <v>400000000</v>
      </c>
      <c r="AC84" s="97">
        <v>400000000</v>
      </c>
      <c r="AD84" s="97"/>
      <c r="AE84" s="97"/>
      <c r="AF84" s="97"/>
      <c r="AG84" s="97"/>
      <c r="AH84" s="97"/>
      <c r="AI84" s="97"/>
    </row>
    <row r="85" spans="1:35" ht="18" customHeight="1" x14ac:dyDescent="0.15">
      <c r="A85" s="92" t="s">
        <v>179</v>
      </c>
      <c r="B85" s="93" t="s">
        <v>180</v>
      </c>
      <c r="C85" s="217" t="s">
        <v>458</v>
      </c>
      <c r="D85" s="216" t="s">
        <v>459</v>
      </c>
      <c r="E85" s="155" t="s">
        <v>445</v>
      </c>
      <c r="F85" s="155" t="s">
        <v>457</v>
      </c>
      <c r="G85" s="93">
        <v>2310000</v>
      </c>
      <c r="H85" s="92">
        <v>3535</v>
      </c>
      <c r="I85" s="108" t="s">
        <v>462</v>
      </c>
      <c r="J85" s="96" t="s">
        <v>463</v>
      </c>
      <c r="K85" s="108" t="s">
        <v>462</v>
      </c>
      <c r="L85" s="100">
        <f>P85+R85+U85+V85+X85+Z85</f>
        <v>300000000</v>
      </c>
      <c r="M85" s="110">
        <v>63000000</v>
      </c>
      <c r="N85" s="99" t="s">
        <v>205</v>
      </c>
      <c r="O85" s="99" t="s">
        <v>187</v>
      </c>
      <c r="P85" s="100"/>
      <c r="Q85" s="100"/>
      <c r="R85" s="100"/>
      <c r="S85" s="100"/>
      <c r="T85" s="100">
        <v>0</v>
      </c>
      <c r="U85" s="100"/>
      <c r="V85" s="100">
        <v>100000000</v>
      </c>
      <c r="W85" s="100">
        <v>100000000</v>
      </c>
      <c r="X85" s="100">
        <v>100000000</v>
      </c>
      <c r="Y85" s="100">
        <v>100000000</v>
      </c>
      <c r="Z85" s="100">
        <v>100000000</v>
      </c>
      <c r="AA85" s="97"/>
      <c r="AB85" s="97"/>
      <c r="AC85" s="97"/>
      <c r="AD85" s="97">
        <v>100000000</v>
      </c>
      <c r="AE85" s="97">
        <v>100000000</v>
      </c>
      <c r="AF85" s="97">
        <v>100000000</v>
      </c>
      <c r="AG85" s="97"/>
      <c r="AH85" s="97"/>
      <c r="AI85" s="97"/>
    </row>
    <row r="86" spans="1:35" ht="13.15" customHeight="1" x14ac:dyDescent="0.15">
      <c r="A86" s="118" t="s">
        <v>177</v>
      </c>
      <c r="B86" s="119" t="s">
        <v>180</v>
      </c>
      <c r="C86" s="119"/>
      <c r="D86" s="120" t="s">
        <v>464</v>
      </c>
      <c r="E86" s="121"/>
      <c r="F86" s="121" t="s">
        <v>143</v>
      </c>
      <c r="G86" s="118"/>
      <c r="H86" s="121"/>
      <c r="I86" s="118"/>
      <c r="J86" s="120"/>
      <c r="K86" s="122" t="s">
        <v>143</v>
      </c>
      <c r="L86" s="80">
        <f>SUM(L87:L92)</f>
        <v>1804274134</v>
      </c>
      <c r="M86" s="80">
        <f>SUM(M87:M92)</f>
        <v>1554396134</v>
      </c>
      <c r="N86" s="80"/>
      <c r="O86" s="80"/>
      <c r="P86" s="80">
        <f t="shared" ref="P86:AA86" si="20">SUM(P87:P92)</f>
        <v>202274012</v>
      </c>
      <c r="Q86" s="80">
        <f t="shared" si="20"/>
        <v>402000000</v>
      </c>
      <c r="R86" s="80">
        <f t="shared" si="20"/>
        <v>392184122</v>
      </c>
      <c r="S86" s="80">
        <f t="shared" si="20"/>
        <v>759938000</v>
      </c>
      <c r="T86" s="80">
        <f t="shared" si="20"/>
        <v>122000</v>
      </c>
      <c r="U86" s="80">
        <f t="shared" si="20"/>
        <v>0</v>
      </c>
      <c r="V86" s="80">
        <f t="shared" si="20"/>
        <v>309816000</v>
      </c>
      <c r="W86" s="81">
        <f t="shared" si="20"/>
        <v>309816000</v>
      </c>
      <c r="X86" s="80">
        <f t="shared" si="20"/>
        <v>450000000</v>
      </c>
      <c r="Y86" s="80">
        <f>SUM(Y87:Y92)</f>
        <v>450000000</v>
      </c>
      <c r="Z86" s="80">
        <f t="shared" si="20"/>
        <v>450000000</v>
      </c>
      <c r="AA86" s="123">
        <f t="shared" si="20"/>
        <v>350000000</v>
      </c>
      <c r="AB86" s="123">
        <f>SUM(AB87:AB92)</f>
        <v>350000000</v>
      </c>
      <c r="AC86" s="123">
        <f t="shared" ref="AC86:AD86" si="21">SUM(AC87:AC92)</f>
        <v>350000000</v>
      </c>
      <c r="AD86" s="123">
        <f t="shared" si="21"/>
        <v>100000000</v>
      </c>
      <c r="AE86" s="123">
        <f>SUM(AE87:AE92)</f>
        <v>100000000</v>
      </c>
      <c r="AF86" s="123">
        <f t="shared" ref="AF86:AG86" si="22">SUM(AF87:AF92)</f>
        <v>100000000</v>
      </c>
      <c r="AG86" s="123">
        <f t="shared" si="22"/>
        <v>0</v>
      </c>
      <c r="AH86" s="123">
        <f>SUM(AH87:AH92)</f>
        <v>0</v>
      </c>
      <c r="AI86" s="123">
        <f t="shared" ref="AI86" si="23">SUM(AI87:AI92)</f>
        <v>0</v>
      </c>
    </row>
    <row r="87" spans="1:35" ht="33" x14ac:dyDescent="0.15">
      <c r="A87" s="108" t="s">
        <v>179</v>
      </c>
      <c r="B87" s="109" t="s">
        <v>180</v>
      </c>
      <c r="C87" s="94">
        <v>1011001</v>
      </c>
      <c r="D87" s="95" t="s">
        <v>181</v>
      </c>
      <c r="E87" s="218" t="s">
        <v>182</v>
      </c>
      <c r="F87" s="109" t="s">
        <v>143</v>
      </c>
      <c r="G87" s="109">
        <v>2310000</v>
      </c>
      <c r="H87" s="108">
        <v>3535</v>
      </c>
      <c r="I87" s="191" t="s">
        <v>465</v>
      </c>
      <c r="J87" s="162" t="s">
        <v>466</v>
      </c>
      <c r="K87" s="191" t="s">
        <v>465</v>
      </c>
      <c r="L87" s="100">
        <f t="shared" ref="L87:L92" si="24">P87+R87+U87+V87+X87+Z87</f>
        <v>749999821</v>
      </c>
      <c r="M87" s="98">
        <f>L87</f>
        <v>749999821</v>
      </c>
      <c r="N87" s="99"/>
      <c r="O87" s="99"/>
      <c r="P87" s="100"/>
      <c r="Q87" s="100">
        <v>0</v>
      </c>
      <c r="R87" s="100"/>
      <c r="S87" s="100">
        <f>+L87-P87-Q87</f>
        <v>749999821</v>
      </c>
      <c r="T87" s="100">
        <v>0</v>
      </c>
      <c r="U87" s="100"/>
      <c r="V87" s="219">
        <v>249999821</v>
      </c>
      <c r="W87" s="100">
        <v>249999821</v>
      </c>
      <c r="X87" s="100">
        <v>250000000</v>
      </c>
      <c r="Y87" s="100">
        <v>250000000</v>
      </c>
      <c r="Z87" s="100">
        <v>250000000</v>
      </c>
      <c r="AA87" s="100">
        <v>250000000</v>
      </c>
      <c r="AB87" s="100">
        <v>250000000</v>
      </c>
      <c r="AC87" s="100">
        <v>250000000</v>
      </c>
      <c r="AD87" s="97"/>
      <c r="AE87" s="97"/>
      <c r="AF87" s="97"/>
      <c r="AG87" s="97"/>
      <c r="AH87" s="97"/>
      <c r="AI87" s="97"/>
    </row>
    <row r="88" spans="1:35" ht="24.75" x14ac:dyDescent="0.15">
      <c r="A88" s="108" t="s">
        <v>179</v>
      </c>
      <c r="B88" s="109" t="s">
        <v>180</v>
      </c>
      <c r="C88" s="94">
        <v>1011001</v>
      </c>
      <c r="D88" s="95" t="s">
        <v>181</v>
      </c>
      <c r="E88" s="109" t="s">
        <v>182</v>
      </c>
      <c r="F88" s="109" t="s">
        <v>143</v>
      </c>
      <c r="G88" s="109">
        <v>2310000</v>
      </c>
      <c r="H88" s="108">
        <v>3535</v>
      </c>
      <c r="I88" s="109" t="s">
        <v>467</v>
      </c>
      <c r="J88" s="96" t="s">
        <v>468</v>
      </c>
      <c r="K88" s="109" t="s">
        <v>467</v>
      </c>
      <c r="L88" s="100">
        <f t="shared" si="24"/>
        <v>597688313</v>
      </c>
      <c r="M88" s="98">
        <v>597688313</v>
      </c>
      <c r="N88" s="99" t="s">
        <v>361</v>
      </c>
      <c r="O88" s="99" t="s">
        <v>192</v>
      </c>
      <c r="P88" s="100">
        <v>200000000</v>
      </c>
      <c r="Q88" s="100">
        <v>397566012</v>
      </c>
      <c r="R88" s="100">
        <v>392184122</v>
      </c>
      <c r="S88" s="100">
        <f>M88-P88-R88</f>
        <v>5504191</v>
      </c>
      <c r="T88" s="100">
        <v>0</v>
      </c>
      <c r="U88" s="100"/>
      <c r="V88" s="219">
        <f>M88-P88-R88</f>
        <v>5504191</v>
      </c>
      <c r="W88" s="100">
        <v>5504191</v>
      </c>
      <c r="X88" s="100"/>
      <c r="Y88" s="100"/>
      <c r="Z88" s="100"/>
      <c r="AA88" s="97"/>
      <c r="AB88" s="97"/>
      <c r="AC88" s="97"/>
      <c r="AD88" s="97"/>
      <c r="AE88" s="97"/>
      <c r="AF88" s="97"/>
      <c r="AG88" s="97"/>
      <c r="AH88" s="97"/>
      <c r="AI88" s="97"/>
    </row>
    <row r="89" spans="1:35" ht="21.75" customHeight="1" x14ac:dyDescent="0.15">
      <c r="A89" s="108" t="s">
        <v>179</v>
      </c>
      <c r="B89" s="109" t="s">
        <v>180</v>
      </c>
      <c r="C89" s="94">
        <v>1011001</v>
      </c>
      <c r="D89" s="95" t="s">
        <v>181</v>
      </c>
      <c r="E89" s="109" t="s">
        <v>182</v>
      </c>
      <c r="F89" s="109" t="s">
        <v>143</v>
      </c>
      <c r="G89" s="109">
        <v>2310000</v>
      </c>
      <c r="H89" s="108" t="s">
        <v>202</v>
      </c>
      <c r="I89" s="109" t="s">
        <v>469</v>
      </c>
      <c r="J89" s="96" t="s">
        <v>470</v>
      </c>
      <c r="K89" s="109" t="s">
        <v>469</v>
      </c>
      <c r="L89" s="100">
        <f t="shared" si="24"/>
        <v>6586000</v>
      </c>
      <c r="M89" s="98">
        <v>6708000</v>
      </c>
      <c r="N89" s="99" t="s">
        <v>361</v>
      </c>
      <c r="O89" s="99" t="s">
        <v>192</v>
      </c>
      <c r="P89" s="100">
        <v>2274012</v>
      </c>
      <c r="Q89" s="100">
        <v>4433988</v>
      </c>
      <c r="R89" s="100">
        <v>0</v>
      </c>
      <c r="S89" s="100">
        <f>M89-P89-R89</f>
        <v>4433988</v>
      </c>
      <c r="T89" s="100">
        <v>122000</v>
      </c>
      <c r="U89" s="100"/>
      <c r="V89" s="219">
        <f>S89-T89</f>
        <v>4311988</v>
      </c>
      <c r="W89" s="100">
        <v>4311988</v>
      </c>
      <c r="X89" s="100"/>
      <c r="Y89" s="100"/>
      <c r="Z89" s="100"/>
      <c r="AA89" s="97"/>
      <c r="AB89" s="97"/>
      <c r="AC89" s="97"/>
      <c r="AD89" s="97"/>
      <c r="AE89" s="97"/>
      <c r="AF89" s="97"/>
      <c r="AG89" s="97"/>
      <c r="AH89" s="97"/>
      <c r="AI89" s="97"/>
    </row>
    <row r="90" spans="1:35" ht="13.5" customHeight="1" x14ac:dyDescent="0.15">
      <c r="A90" s="108" t="s">
        <v>179</v>
      </c>
      <c r="B90" s="109" t="s">
        <v>180</v>
      </c>
      <c r="C90" s="94">
        <v>1011001</v>
      </c>
      <c r="D90" s="95" t="s">
        <v>181</v>
      </c>
      <c r="E90" s="109" t="s">
        <v>182</v>
      </c>
      <c r="F90" s="109" t="s">
        <v>143</v>
      </c>
      <c r="G90" s="109">
        <v>2310000</v>
      </c>
      <c r="H90" s="108" t="s">
        <v>202</v>
      </c>
      <c r="I90" s="108" t="s">
        <v>471</v>
      </c>
      <c r="J90" s="96" t="s">
        <v>472</v>
      </c>
      <c r="K90" s="108" t="s">
        <v>471</v>
      </c>
      <c r="L90" s="100">
        <f t="shared" si="24"/>
        <v>230000000</v>
      </c>
      <c r="M90" s="98"/>
      <c r="N90" s="99"/>
      <c r="O90" s="99"/>
      <c r="P90" s="100"/>
      <c r="Q90" s="100"/>
      <c r="R90" s="100"/>
      <c r="S90" s="100"/>
      <c r="T90" s="100"/>
      <c r="U90" s="100"/>
      <c r="V90" s="219">
        <v>30000000</v>
      </c>
      <c r="W90" s="100">
        <v>30000000</v>
      </c>
      <c r="X90" s="100">
        <v>100000000</v>
      </c>
      <c r="Y90" s="100">
        <v>100000000</v>
      </c>
      <c r="Z90" s="100">
        <v>100000000</v>
      </c>
      <c r="AA90" s="100">
        <v>100000000</v>
      </c>
      <c r="AB90" s="100">
        <v>100000000</v>
      </c>
      <c r="AC90" s="100">
        <v>100000000</v>
      </c>
      <c r="AD90" s="97"/>
      <c r="AE90" s="97"/>
      <c r="AF90" s="97"/>
      <c r="AG90" s="97"/>
      <c r="AH90" s="97"/>
      <c r="AI90" s="97"/>
    </row>
    <row r="91" spans="1:35" ht="13.5" customHeight="1" x14ac:dyDescent="0.15">
      <c r="A91" s="108" t="s">
        <v>179</v>
      </c>
      <c r="B91" s="109" t="s">
        <v>180</v>
      </c>
      <c r="C91" s="94">
        <v>1011001</v>
      </c>
      <c r="D91" s="95" t="s">
        <v>181</v>
      </c>
      <c r="E91" s="109" t="s">
        <v>182</v>
      </c>
      <c r="F91" s="109" t="s">
        <v>143</v>
      </c>
      <c r="G91" s="109">
        <v>2310000</v>
      </c>
      <c r="H91" s="108" t="s">
        <v>202</v>
      </c>
      <c r="I91" s="108" t="s">
        <v>473</v>
      </c>
      <c r="J91" s="220" t="s">
        <v>474</v>
      </c>
      <c r="K91" s="108" t="s">
        <v>473</v>
      </c>
      <c r="L91" s="100">
        <f t="shared" si="24"/>
        <v>20000000</v>
      </c>
      <c r="M91" s="98"/>
      <c r="N91" s="99"/>
      <c r="O91" s="99"/>
      <c r="P91" s="100"/>
      <c r="Q91" s="100"/>
      <c r="R91" s="100"/>
      <c r="S91" s="100"/>
      <c r="T91" s="100"/>
      <c r="U91" s="100"/>
      <c r="V91" s="219">
        <v>20000000</v>
      </c>
      <c r="W91" s="100">
        <v>20000000</v>
      </c>
      <c r="X91" s="100">
        <v>0</v>
      </c>
      <c r="Y91" s="100">
        <v>0</v>
      </c>
      <c r="Z91" s="100">
        <v>0</v>
      </c>
      <c r="AA91" s="97">
        <v>0</v>
      </c>
      <c r="AB91" s="97">
        <v>0</v>
      </c>
      <c r="AC91" s="97">
        <v>0</v>
      </c>
      <c r="AD91" s="97">
        <v>0</v>
      </c>
      <c r="AE91" s="97">
        <v>0</v>
      </c>
      <c r="AF91" s="97">
        <v>0</v>
      </c>
      <c r="AG91" s="97">
        <v>0</v>
      </c>
      <c r="AH91" s="97">
        <v>0</v>
      </c>
      <c r="AI91" s="97">
        <v>0</v>
      </c>
    </row>
    <row r="92" spans="1:35" ht="24.75" x14ac:dyDescent="0.15">
      <c r="A92" s="108" t="s">
        <v>179</v>
      </c>
      <c r="B92" s="109" t="s">
        <v>180</v>
      </c>
      <c r="C92" s="94">
        <v>1011001</v>
      </c>
      <c r="D92" s="95" t="s">
        <v>181</v>
      </c>
      <c r="E92" s="155" t="s">
        <v>445</v>
      </c>
      <c r="F92" s="109" t="s">
        <v>143</v>
      </c>
      <c r="G92" s="109">
        <v>2310000</v>
      </c>
      <c r="H92" s="108" t="s">
        <v>202</v>
      </c>
      <c r="I92" s="221" t="s">
        <v>475</v>
      </c>
      <c r="J92" s="222" t="s">
        <v>476</v>
      </c>
      <c r="K92" s="221" t="s">
        <v>475</v>
      </c>
      <c r="L92" s="100">
        <f t="shared" si="24"/>
        <v>200000000</v>
      </c>
      <c r="M92" s="100">
        <f>L92</f>
        <v>200000000</v>
      </c>
      <c r="N92" s="100">
        <v>2018</v>
      </c>
      <c r="O92" s="100">
        <v>2019</v>
      </c>
      <c r="P92" s="100">
        <v>0</v>
      </c>
      <c r="Q92" s="100">
        <v>0</v>
      </c>
      <c r="R92" s="100">
        <v>0</v>
      </c>
      <c r="S92" s="100">
        <v>0</v>
      </c>
      <c r="T92" s="100">
        <v>0</v>
      </c>
      <c r="U92" s="100"/>
      <c r="V92" s="100">
        <v>0</v>
      </c>
      <c r="W92" s="100">
        <v>0</v>
      </c>
      <c r="X92" s="100">
        <v>100000000</v>
      </c>
      <c r="Y92" s="100">
        <v>100000000</v>
      </c>
      <c r="Z92" s="100">
        <v>100000000</v>
      </c>
      <c r="AA92" s="97"/>
      <c r="AB92" s="97"/>
      <c r="AC92" s="97"/>
      <c r="AD92" s="97">
        <v>100000000</v>
      </c>
      <c r="AE92" s="97">
        <v>100000000</v>
      </c>
      <c r="AF92" s="97">
        <v>100000000</v>
      </c>
      <c r="AG92" s="97"/>
      <c r="AH92" s="97"/>
      <c r="AI92" s="97"/>
    </row>
  </sheetData>
  <autoFilter ref="A3:Z92">
    <filterColumn colId="16" showButton="0"/>
    <filterColumn colId="19" showButton="0"/>
  </autoFilter>
  <mergeCells count="11">
    <mergeCell ref="D5:E5"/>
    <mergeCell ref="J5:K5"/>
    <mergeCell ref="D54:E54"/>
    <mergeCell ref="J54:K54"/>
    <mergeCell ref="J1:J2"/>
    <mergeCell ref="X1:Z1"/>
    <mergeCell ref="AA1:AC1"/>
    <mergeCell ref="AD1:AF1"/>
    <mergeCell ref="AG1:AI1"/>
    <mergeCell ref="Q3:R3"/>
    <mergeCell ref="T3:U3"/>
  </mergeCells>
  <printOptions horizontalCentered="1"/>
  <pageMargins left="0" right="0" top="0.23622047244094491" bottom="0.23622047244094491" header="0" footer="0"/>
  <pageSetup scale="80" orientation="landscape" r:id="rId1"/>
  <headerFooter>
    <oddFooter>&amp;L&amp;"-,Italic"&amp;6&amp;F&amp;R&amp;"-,Italic"&amp;8Faqe &amp;P nga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03"/>
  <sheetViews>
    <sheetView topLeftCell="A83" zoomScale="98" zoomScaleNormal="98" workbookViewId="0">
      <selection activeCell="C45" sqref="C45"/>
    </sheetView>
  </sheetViews>
  <sheetFormatPr defaultColWidth="8.85546875" defaultRowHeight="12.6" customHeight="1" x14ac:dyDescent="0.25"/>
  <cols>
    <col min="1" max="1" width="10.42578125" style="273" customWidth="1"/>
    <col min="2" max="2" width="58.42578125" style="331" customWidth="1"/>
    <col min="3" max="3" width="15.5703125" style="274" customWidth="1"/>
    <col min="4" max="4" width="12.7109375" style="274" customWidth="1"/>
    <col min="5" max="5" width="22" style="274" customWidth="1"/>
    <col min="6" max="6" width="20.7109375" style="274" customWidth="1"/>
    <col min="7" max="7" width="11.28515625" style="274" customWidth="1"/>
    <col min="8" max="8" width="10.7109375" style="274" customWidth="1"/>
    <col min="9" max="9" width="11.5703125" style="274" customWidth="1"/>
    <col min="10" max="10" width="15.5703125" style="274" customWidth="1"/>
    <col min="11" max="16384" width="8.85546875" style="274"/>
  </cols>
  <sheetData>
    <row r="1" spans="2:7" ht="12.6" customHeight="1" x14ac:dyDescent="0.25">
      <c r="B1" s="2187" t="s">
        <v>135</v>
      </c>
      <c r="C1" s="2188"/>
      <c r="D1" s="2188"/>
      <c r="E1" s="2188"/>
      <c r="F1" s="2188"/>
    </row>
    <row r="2" spans="2:7" ht="12.6" customHeight="1" x14ac:dyDescent="0.25">
      <c r="B2" s="2189" t="s">
        <v>84</v>
      </c>
      <c r="C2" s="2189"/>
      <c r="D2" s="2189"/>
      <c r="E2" s="2189"/>
      <c r="F2" s="2190"/>
    </row>
    <row r="3" spans="2:7" ht="12.6" customHeight="1" x14ac:dyDescent="0.25">
      <c r="B3" s="2191" t="s">
        <v>950</v>
      </c>
      <c r="C3" s="2191"/>
      <c r="D3" s="2191"/>
      <c r="E3" s="2191"/>
      <c r="F3" s="2192"/>
    </row>
    <row r="4" spans="2:7" ht="12.6" customHeight="1" x14ac:dyDescent="0.25">
      <c r="F4" s="275"/>
    </row>
    <row r="5" spans="2:7" ht="15" customHeight="1" x14ac:dyDescent="0.25">
      <c r="B5" s="332" t="s">
        <v>96</v>
      </c>
      <c r="C5" s="2193" t="s">
        <v>146</v>
      </c>
      <c r="D5" s="2194"/>
      <c r="E5" s="2194"/>
      <c r="F5" s="2194"/>
    </row>
    <row r="6" spans="2:7" ht="12.6" customHeight="1" x14ac:dyDescent="0.25">
      <c r="B6" s="333" t="s">
        <v>4</v>
      </c>
      <c r="C6" s="2195" t="s">
        <v>144</v>
      </c>
      <c r="D6" s="2196"/>
      <c r="E6" s="2196"/>
      <c r="F6" s="2196"/>
    </row>
    <row r="7" spans="2:7" ht="25.15" customHeight="1" x14ac:dyDescent="0.25">
      <c r="B7" s="334" t="s">
        <v>136</v>
      </c>
      <c r="C7" s="2185" t="s">
        <v>5</v>
      </c>
      <c r="D7" s="2186"/>
      <c r="E7" s="2186"/>
      <c r="F7" s="2186"/>
    </row>
    <row r="8" spans="2:7" ht="17.45" customHeight="1" x14ac:dyDescent="0.25">
      <c r="B8" s="2175" t="s">
        <v>493</v>
      </c>
      <c r="C8" s="2176"/>
      <c r="D8" s="2176"/>
      <c r="E8" s="2176"/>
      <c r="F8" s="2176"/>
    </row>
    <row r="9" spans="2:7" ht="12.6" customHeight="1" x14ac:dyDescent="0.25">
      <c r="B9" s="2177" t="s">
        <v>145</v>
      </c>
      <c r="C9" s="2178"/>
      <c r="D9" s="2178"/>
      <c r="E9" s="2178"/>
      <c r="F9" s="2178"/>
      <c r="G9" s="276"/>
    </row>
    <row r="10" spans="2:7" ht="12.6" customHeight="1" x14ac:dyDescent="0.25">
      <c r="B10" s="2179"/>
      <c r="C10" s="2180"/>
      <c r="D10" s="2180"/>
      <c r="E10" s="2180"/>
      <c r="F10" s="2180"/>
      <c r="G10" s="276"/>
    </row>
    <row r="11" spans="2:7" ht="12.6" customHeight="1" x14ac:dyDescent="0.25">
      <c r="B11" s="2179"/>
      <c r="C11" s="2180"/>
      <c r="D11" s="2180"/>
      <c r="E11" s="2180"/>
      <c r="F11" s="2180"/>
      <c r="G11" s="276"/>
    </row>
    <row r="12" spans="2:7" ht="12.6" customHeight="1" x14ac:dyDescent="0.25">
      <c r="B12" s="2179"/>
      <c r="C12" s="2180"/>
      <c r="D12" s="2180"/>
      <c r="E12" s="2180"/>
      <c r="F12" s="2180"/>
      <c r="G12" s="276"/>
    </row>
    <row r="13" spans="2:7" ht="27.6" customHeight="1" x14ac:dyDescent="0.25">
      <c r="B13" s="2181"/>
      <c r="C13" s="2182"/>
      <c r="D13" s="2182"/>
      <c r="E13" s="2182"/>
      <c r="F13" s="2182"/>
      <c r="G13" s="276"/>
    </row>
    <row r="14" spans="2:7" ht="12.6" customHeight="1" x14ac:dyDescent="0.25">
      <c r="B14" s="2175" t="s">
        <v>137</v>
      </c>
      <c r="C14" s="2176"/>
      <c r="D14" s="2176"/>
      <c r="E14" s="2176"/>
      <c r="F14" s="2176"/>
    </row>
    <row r="15" spans="2:7" ht="56.45" customHeight="1" thickBot="1" x14ac:dyDescent="0.3">
      <c r="B15" s="2177" t="s">
        <v>1002</v>
      </c>
      <c r="C15" s="2178"/>
      <c r="D15" s="2178"/>
      <c r="E15" s="2178"/>
      <c r="F15" s="2178"/>
    </row>
    <row r="16" spans="2:7" ht="16.149999999999999" hidden="1" customHeight="1" thickBot="1" x14ac:dyDescent="0.3">
      <c r="B16" s="2179"/>
      <c r="C16" s="2180"/>
      <c r="D16" s="2180"/>
      <c r="E16" s="2180"/>
      <c r="F16" s="2180"/>
    </row>
    <row r="17" spans="2:6" ht="12.6" customHeight="1" x14ac:dyDescent="0.25">
      <c r="B17" s="2183" t="s">
        <v>119</v>
      </c>
      <c r="C17" s="587">
        <v>2018</v>
      </c>
      <c r="D17" s="587">
        <v>2019</v>
      </c>
      <c r="E17" s="587">
        <v>2020</v>
      </c>
      <c r="F17" s="588">
        <v>2021</v>
      </c>
    </row>
    <row r="18" spans="2:6" ht="12.6" customHeight="1" thickBot="1" x14ac:dyDescent="0.3">
      <c r="B18" s="2184"/>
      <c r="C18" s="589" t="s">
        <v>6</v>
      </c>
      <c r="D18" s="589" t="s">
        <v>7</v>
      </c>
      <c r="E18" s="589" t="s">
        <v>7</v>
      </c>
      <c r="F18" s="590" t="s">
        <v>7</v>
      </c>
    </row>
    <row r="19" spans="2:6" ht="12.6" customHeight="1" thickBot="1" x14ac:dyDescent="0.3">
      <c r="B19" s="1399" t="s">
        <v>517</v>
      </c>
      <c r="C19" s="1528">
        <f>100/678</f>
        <v>0.14749262536873156</v>
      </c>
      <c r="D19" s="1528">
        <f>110/678</f>
        <v>0.16224188790560473</v>
      </c>
      <c r="E19" s="1528">
        <f>110/678</f>
        <v>0.16224188790560473</v>
      </c>
      <c r="F19" s="1528">
        <f>120/678</f>
        <v>0.17699115044247787</v>
      </c>
    </row>
    <row r="20" spans="2:6" ht="12.6" customHeight="1" thickBot="1" x14ac:dyDescent="0.3">
      <c r="B20" s="1399" t="s">
        <v>499</v>
      </c>
      <c r="C20" s="1529">
        <v>678</v>
      </c>
      <c r="D20" s="1529">
        <v>678</v>
      </c>
      <c r="E20" s="1529">
        <v>678</v>
      </c>
      <c r="F20" s="1529">
        <v>678</v>
      </c>
    </row>
    <row r="21" spans="2:6" ht="13.9" customHeight="1" thickBot="1" x14ac:dyDescent="0.3">
      <c r="B21" s="1399" t="s">
        <v>518</v>
      </c>
      <c r="C21" s="1530">
        <f>C20/C22</f>
        <v>2.1868146045671527E-2</v>
      </c>
      <c r="D21" s="1530">
        <f t="shared" ref="D21:F21" si="0">D20/D22</f>
        <v>2.1868146045671527E-2</v>
      </c>
      <c r="E21" s="1530">
        <f t="shared" si="0"/>
        <v>2.1868146045671527E-2</v>
      </c>
      <c r="F21" s="1530">
        <f t="shared" si="0"/>
        <v>2.1868146045671527E-2</v>
      </c>
    </row>
    <row r="22" spans="2:6" ht="12.6" customHeight="1" thickBot="1" x14ac:dyDescent="0.3">
      <c r="B22" s="1399" t="s">
        <v>519</v>
      </c>
      <c r="C22" s="1529">
        <v>31004</v>
      </c>
      <c r="D22" s="1529">
        <v>31004</v>
      </c>
      <c r="E22" s="1529">
        <v>31004</v>
      </c>
      <c r="F22" s="1529">
        <v>31004</v>
      </c>
    </row>
    <row r="23" spans="2:6" ht="13.9" customHeight="1" thickBot="1" x14ac:dyDescent="0.3">
      <c r="B23" s="1399" t="s">
        <v>527</v>
      </c>
      <c r="C23" s="1528">
        <f>40/C24</f>
        <v>3.1031807602792862E-2</v>
      </c>
      <c r="D23" s="1528">
        <f t="shared" ref="D23:F23" si="1">40/D24</f>
        <v>3.1496062992125984E-2</v>
      </c>
      <c r="E23" s="1528">
        <f t="shared" si="1"/>
        <v>3.2000000000000001E-2</v>
      </c>
      <c r="F23" s="1528">
        <f t="shared" si="1"/>
        <v>3.2520325203252036E-2</v>
      </c>
    </row>
    <row r="24" spans="2:6" ht="16.899999999999999" customHeight="1" thickBot="1" x14ac:dyDescent="0.3">
      <c r="B24" s="1399" t="s">
        <v>551</v>
      </c>
      <c r="C24" s="1531">
        <v>1289</v>
      </c>
      <c r="D24" s="1531">
        <v>1270</v>
      </c>
      <c r="E24" s="1531">
        <v>1250</v>
      </c>
      <c r="F24" s="1531">
        <v>1230</v>
      </c>
    </row>
    <row r="25" spans="2:6" ht="12.6" customHeight="1" thickBot="1" x14ac:dyDescent="0.3">
      <c r="B25" s="1400" t="s">
        <v>501</v>
      </c>
      <c r="C25" s="1532">
        <f>C26/C27</f>
        <v>0.41666666666666669</v>
      </c>
      <c r="D25" s="1532">
        <f>D26/D27</f>
        <v>0.41666666666666669</v>
      </c>
      <c r="E25" s="1532">
        <f t="shared" ref="E25:F25" si="2">E26/E27</f>
        <v>0.41666666666666669</v>
      </c>
      <c r="F25" s="1532">
        <f t="shared" si="2"/>
        <v>0.41666666666666669</v>
      </c>
    </row>
    <row r="26" spans="2:6" ht="16.899999999999999" customHeight="1" thickBot="1" x14ac:dyDescent="0.3">
      <c r="B26" s="1399" t="s">
        <v>520</v>
      </c>
      <c r="C26" s="1533">
        <f>40</f>
        <v>40</v>
      </c>
      <c r="D26" s="1533">
        <f>40</f>
        <v>40</v>
      </c>
      <c r="E26" s="1533">
        <f>40</f>
        <v>40</v>
      </c>
      <c r="F26" s="1533">
        <f>40</f>
        <v>40</v>
      </c>
    </row>
    <row r="27" spans="2:6" ht="27.6" customHeight="1" thickBot="1" x14ac:dyDescent="0.3">
      <c r="B27" s="1399" t="s">
        <v>521</v>
      </c>
      <c r="C27" s="1529">
        <v>96</v>
      </c>
      <c r="D27" s="1529">
        <v>96</v>
      </c>
      <c r="E27" s="1529">
        <v>96</v>
      </c>
      <c r="F27" s="1529">
        <v>96</v>
      </c>
    </row>
    <row r="28" spans="2:6" ht="12.6" customHeight="1" thickBot="1" x14ac:dyDescent="0.3">
      <c r="B28" s="1399" t="s">
        <v>507</v>
      </c>
      <c r="C28" s="1528">
        <f>100/C29</f>
        <v>7.7579519006982151E-2</v>
      </c>
      <c r="D28" s="1528">
        <f>100/D29</f>
        <v>7.874015748031496E-2</v>
      </c>
      <c r="E28" s="1528">
        <f>100/E29</f>
        <v>0.08</v>
      </c>
      <c r="F28" s="1528">
        <f>100/F29</f>
        <v>8.1300813008130079E-2</v>
      </c>
    </row>
    <row r="29" spans="2:6" ht="28.9" customHeight="1" thickBot="1" x14ac:dyDescent="0.3">
      <c r="B29" s="1399" t="s">
        <v>508</v>
      </c>
      <c r="C29" s="1531">
        <v>1289</v>
      </c>
      <c r="D29" s="1531">
        <v>1270</v>
      </c>
      <c r="E29" s="1531">
        <v>1250</v>
      </c>
      <c r="F29" s="1531">
        <v>1230</v>
      </c>
    </row>
    <row r="30" spans="2:6" ht="18" customHeight="1" x14ac:dyDescent="0.25">
      <c r="B30" s="718" t="s">
        <v>688</v>
      </c>
      <c r="C30" s="1393">
        <v>2.0770234367104894E-2</v>
      </c>
      <c r="D30" s="1393">
        <v>2.0023435073329564E-2</v>
      </c>
      <c r="E30" s="1394">
        <v>1.9441531765051107E-2</v>
      </c>
      <c r="F30" s="1394">
        <v>1.9556304422689033E-2</v>
      </c>
    </row>
    <row r="31" spans="2:6" ht="12" customHeight="1" x14ac:dyDescent="0.25">
      <c r="B31" s="718" t="s">
        <v>687</v>
      </c>
      <c r="C31" s="1395">
        <v>4.8306981051569984E-4</v>
      </c>
      <c r="D31" s="1395">
        <v>4.4845902431464075E-4</v>
      </c>
      <c r="E31" s="1396">
        <v>4.2447993277020191E-4</v>
      </c>
      <c r="F31" s="1396">
        <v>3.9745263814623883E-4</v>
      </c>
    </row>
    <row r="32" spans="2:6" ht="18.600000000000001" customHeight="1" thickBot="1" x14ac:dyDescent="0.3">
      <c r="B32" s="718" t="s">
        <v>686</v>
      </c>
      <c r="C32" s="1395">
        <v>1.6034836209862212E-3</v>
      </c>
      <c r="D32" s="1395">
        <v>1.5030527339012928E-3</v>
      </c>
      <c r="E32" s="1396">
        <v>1.4461567005358683E-3</v>
      </c>
      <c r="F32" s="1396">
        <v>1.390137712531211E-3</v>
      </c>
    </row>
    <row r="33" spans="1:9" ht="42" customHeight="1" thickBot="1" x14ac:dyDescent="0.3">
      <c r="A33" s="273">
        <v>1</v>
      </c>
      <c r="B33" s="277" t="s">
        <v>491</v>
      </c>
      <c r="C33" s="2143" t="s">
        <v>498</v>
      </c>
      <c r="D33" s="2144"/>
      <c r="E33" s="2144"/>
      <c r="F33" s="2145"/>
    </row>
    <row r="34" spans="1:9" ht="12.6" customHeight="1" thickBot="1" x14ac:dyDescent="0.3">
      <c r="B34" s="2169" t="s">
        <v>120</v>
      </c>
      <c r="C34" s="2170"/>
      <c r="D34" s="2170"/>
      <c r="E34" s="2170"/>
      <c r="F34" s="2171"/>
      <c r="G34" s="278"/>
      <c r="I34" s="278"/>
    </row>
    <row r="35" spans="1:9" ht="12.6" customHeight="1" thickBot="1" x14ac:dyDescent="0.3">
      <c r="B35" s="279" t="s">
        <v>517</v>
      </c>
      <c r="C35" s="280">
        <f>100/678</f>
        <v>0.14749262536873156</v>
      </c>
      <c r="D35" s="280">
        <f>110/678</f>
        <v>0.16224188790560473</v>
      </c>
      <c r="E35" s="280">
        <f>110/678</f>
        <v>0.16224188790560473</v>
      </c>
      <c r="F35" s="280">
        <f>120/678</f>
        <v>0.17699115044247787</v>
      </c>
    </row>
    <row r="36" spans="1:9" ht="12.6" customHeight="1" thickBot="1" x14ac:dyDescent="0.3">
      <c r="B36" s="279" t="s">
        <v>499</v>
      </c>
      <c r="C36" s="281">
        <v>678</v>
      </c>
      <c r="D36" s="281">
        <v>678</v>
      </c>
      <c r="E36" s="281">
        <v>678</v>
      </c>
      <c r="F36" s="281">
        <v>678</v>
      </c>
    </row>
    <row r="37" spans="1:9" ht="12.6" customHeight="1" thickBot="1" x14ac:dyDescent="0.3">
      <c r="B37" s="279" t="s">
        <v>518</v>
      </c>
      <c r="C37" s="282">
        <f>C36/C38</f>
        <v>2.1868146045671527E-2</v>
      </c>
      <c r="D37" s="282">
        <f t="shared" ref="D37:F37" si="3">D36/D38</f>
        <v>2.1868146045671527E-2</v>
      </c>
      <c r="E37" s="282">
        <f t="shared" si="3"/>
        <v>2.1868146045671527E-2</v>
      </c>
      <c r="F37" s="282">
        <f t="shared" si="3"/>
        <v>2.1868146045671527E-2</v>
      </c>
    </row>
    <row r="38" spans="1:9" ht="12.6" customHeight="1" thickBot="1" x14ac:dyDescent="0.3">
      <c r="B38" s="279" t="s">
        <v>519</v>
      </c>
      <c r="C38" s="326">
        <v>31004</v>
      </c>
      <c r="D38" s="326">
        <v>31004</v>
      </c>
      <c r="E38" s="326">
        <v>31004</v>
      </c>
      <c r="F38" s="326">
        <v>31004</v>
      </c>
    </row>
    <row r="39" spans="1:9" ht="12.6" customHeight="1" thickBot="1" x14ac:dyDescent="0.3">
      <c r="B39" s="2146" t="s">
        <v>66</v>
      </c>
      <c r="C39" s="2147"/>
      <c r="D39" s="2147"/>
      <c r="E39" s="2147"/>
      <c r="F39" s="2148"/>
    </row>
    <row r="40" spans="1:9" ht="12.6" customHeight="1" thickBot="1" x14ac:dyDescent="0.3">
      <c r="B40" s="2146" t="s">
        <v>121</v>
      </c>
      <c r="C40" s="2147"/>
      <c r="D40" s="2147"/>
      <c r="E40" s="2147"/>
      <c r="F40" s="2148"/>
    </row>
    <row r="41" spans="1:9" ht="47.45" customHeight="1" thickBot="1" x14ac:dyDescent="0.3">
      <c r="B41" s="283" t="s">
        <v>142</v>
      </c>
      <c r="C41" s="2143" t="s">
        <v>951</v>
      </c>
      <c r="D41" s="2144"/>
      <c r="E41" s="2144"/>
      <c r="F41" s="2145"/>
    </row>
    <row r="42" spans="1:9" ht="41.45" customHeight="1" thickBot="1" x14ac:dyDescent="0.3">
      <c r="B42" s="1141" t="s">
        <v>10</v>
      </c>
      <c r="C42" s="2143" t="s">
        <v>1013</v>
      </c>
      <c r="D42" s="2144"/>
      <c r="E42" s="2144"/>
      <c r="F42" s="2145"/>
    </row>
    <row r="43" spans="1:9" ht="18" customHeight="1" thickBot="1" x14ac:dyDescent="0.3">
      <c r="B43" s="284" t="s">
        <v>13</v>
      </c>
      <c r="C43" s="2154" t="s">
        <v>500</v>
      </c>
      <c r="D43" s="2155"/>
      <c r="E43" s="2155"/>
      <c r="F43" s="2156"/>
    </row>
    <row r="44" spans="1:9" ht="12.6" customHeight="1" x14ac:dyDescent="0.25">
      <c r="B44" s="2132"/>
      <c r="C44" s="285">
        <v>2018</v>
      </c>
      <c r="D44" s="285">
        <v>2019</v>
      </c>
      <c r="E44" s="285">
        <v>2020</v>
      </c>
      <c r="F44" s="285">
        <v>2021</v>
      </c>
    </row>
    <row r="45" spans="1:9" ht="12.6" customHeight="1" thickBot="1" x14ac:dyDescent="0.3">
      <c r="B45" s="2133"/>
      <c r="C45" s="286" t="s">
        <v>6</v>
      </c>
      <c r="D45" s="286" t="s">
        <v>7</v>
      </c>
      <c r="E45" s="286" t="s">
        <v>7</v>
      </c>
      <c r="F45" s="286" t="s">
        <v>7</v>
      </c>
    </row>
    <row r="46" spans="1:9" ht="12.6" customHeight="1" thickBot="1" x14ac:dyDescent="0.3">
      <c r="B46" s="1141" t="s">
        <v>9</v>
      </c>
      <c r="C46" s="287">
        <v>100</v>
      </c>
      <c r="D46" s="287">
        <v>110</v>
      </c>
      <c r="E46" s="287">
        <v>115</v>
      </c>
      <c r="F46" s="287">
        <v>120</v>
      </c>
    </row>
    <row r="47" spans="1:9" ht="12.6" customHeight="1" thickBot="1" x14ac:dyDescent="0.3">
      <c r="B47" s="1141" t="s">
        <v>14</v>
      </c>
      <c r="C47" s="288">
        <v>10000</v>
      </c>
      <c r="D47" s="288">
        <v>11330</v>
      </c>
      <c r="E47" s="288">
        <v>12360</v>
      </c>
      <c r="F47" s="288">
        <v>13390</v>
      </c>
      <c r="G47" s="1161">
        <f>D47*1.03</f>
        <v>11669.9</v>
      </c>
      <c r="H47" s="1161">
        <f>E47*1.03</f>
        <v>12730.800000000001</v>
      </c>
      <c r="I47" s="1161">
        <f>F47*1.03</f>
        <v>13791.7</v>
      </c>
    </row>
    <row r="48" spans="1:9" ht="12.6" customHeight="1" thickBot="1" x14ac:dyDescent="0.3">
      <c r="B48" s="1141" t="s">
        <v>23</v>
      </c>
      <c r="C48" s="288">
        <f>C47/C46</f>
        <v>100</v>
      </c>
      <c r="D48" s="288">
        <f t="shared" ref="D48:F48" si="4">D47/D46</f>
        <v>103</v>
      </c>
      <c r="E48" s="288">
        <f t="shared" si="4"/>
        <v>107.47826086956522</v>
      </c>
      <c r="F48" s="288">
        <f t="shared" si="4"/>
        <v>111.58333333333333</v>
      </c>
    </row>
    <row r="49" spans="2:10" ht="12.6" customHeight="1" thickBot="1" x14ac:dyDescent="0.3">
      <c r="B49" s="1141" t="s">
        <v>15</v>
      </c>
      <c r="C49" s="1133" t="s">
        <v>21</v>
      </c>
      <c r="D49" s="289">
        <f>D46/C46-1</f>
        <v>0.10000000000000009</v>
      </c>
      <c r="E49" s="289">
        <f t="shared" ref="E49:F49" si="5">E46/D46-1</f>
        <v>4.5454545454545414E-2</v>
      </c>
      <c r="F49" s="289">
        <f t="shared" si="5"/>
        <v>4.3478260869565188E-2</v>
      </c>
      <c r="G49" s="290"/>
      <c r="H49" s="290"/>
      <c r="I49" s="290"/>
      <c r="J49" s="290"/>
    </row>
    <row r="50" spans="2:10" ht="12.6" customHeight="1" thickBot="1" x14ac:dyDescent="0.3">
      <c r="B50" s="1141" t="s">
        <v>16</v>
      </c>
      <c r="C50" s="1133" t="s">
        <v>21</v>
      </c>
      <c r="D50" s="289">
        <f>D47/C47-1</f>
        <v>0.13300000000000001</v>
      </c>
      <c r="E50" s="289">
        <f>E47/D47-1</f>
        <v>9.0909090909090828E-2</v>
      </c>
      <c r="F50" s="289">
        <f>F47/E47-1</f>
        <v>8.3333333333333259E-2</v>
      </c>
    </row>
    <row r="51" spans="2:10" ht="12.6" customHeight="1" thickBot="1" x14ac:dyDescent="0.3">
      <c r="B51" s="1141" t="s">
        <v>17</v>
      </c>
      <c r="C51" s="1133" t="s">
        <v>21</v>
      </c>
      <c r="D51" s="289">
        <f>D48/C48-1</f>
        <v>3.0000000000000027E-2</v>
      </c>
      <c r="E51" s="289">
        <f>E48/D48-1</f>
        <v>4.3478260869565188E-2</v>
      </c>
      <c r="F51" s="289">
        <f>F48/E48-1</f>
        <v>3.819444444444442E-2</v>
      </c>
    </row>
    <row r="52" spans="2:10" ht="12.6" customHeight="1" thickBot="1" x14ac:dyDescent="0.3">
      <c r="B52" s="2134" t="s">
        <v>138</v>
      </c>
      <c r="C52" s="2135"/>
      <c r="D52" s="2135"/>
      <c r="E52" s="2135"/>
      <c r="F52" s="2136"/>
    </row>
    <row r="53" spans="2:10" ht="12.6" customHeight="1" x14ac:dyDescent="0.25">
      <c r="B53" s="2132"/>
      <c r="C53" s="285">
        <v>2018</v>
      </c>
      <c r="D53" s="285">
        <v>2019</v>
      </c>
      <c r="E53" s="285">
        <v>2020</v>
      </c>
      <c r="F53" s="285">
        <v>2021</v>
      </c>
    </row>
    <row r="54" spans="2:10" ht="12.6" customHeight="1" thickBot="1" x14ac:dyDescent="0.3">
      <c r="B54" s="2133"/>
      <c r="C54" s="286" t="s">
        <v>6</v>
      </c>
      <c r="D54" s="286" t="s">
        <v>7</v>
      </c>
      <c r="E54" s="286" t="s">
        <v>7</v>
      </c>
      <c r="F54" s="286" t="s">
        <v>7</v>
      </c>
    </row>
    <row r="55" spans="2:10" ht="12.6" customHeight="1" thickBot="1" x14ac:dyDescent="0.3">
      <c r="B55" s="291" t="s">
        <v>0</v>
      </c>
      <c r="C55" s="292">
        <v>0</v>
      </c>
      <c r="D55" s="292">
        <v>0</v>
      </c>
      <c r="E55" s="292">
        <v>0</v>
      </c>
      <c r="F55" s="292">
        <v>0</v>
      </c>
    </row>
    <row r="56" spans="2:10" ht="12.6" customHeight="1" thickBot="1" x14ac:dyDescent="0.3">
      <c r="B56" s="291" t="s">
        <v>49</v>
      </c>
      <c r="C56" s="292">
        <v>0</v>
      </c>
      <c r="D56" s="292">
        <v>0</v>
      </c>
      <c r="E56" s="292">
        <v>0</v>
      </c>
      <c r="F56" s="292">
        <v>0</v>
      </c>
    </row>
    <row r="57" spans="2:10" ht="12.6" customHeight="1" thickBot="1" x14ac:dyDescent="0.3">
      <c r="B57" s="284" t="s">
        <v>1</v>
      </c>
      <c r="C57" s="294">
        <f>C47</f>
        <v>10000</v>
      </c>
      <c r="D57" s="294">
        <f t="shared" ref="D57:F57" si="6">D47</f>
        <v>11330</v>
      </c>
      <c r="E57" s="294">
        <f t="shared" si="6"/>
        <v>12360</v>
      </c>
      <c r="F57" s="294">
        <f t="shared" si="6"/>
        <v>13390</v>
      </c>
    </row>
    <row r="58" spans="2:10" ht="12.6" customHeight="1" thickBot="1" x14ac:dyDescent="0.3">
      <c r="B58" s="9" t="s">
        <v>56</v>
      </c>
      <c r="C58" s="1163" t="s">
        <v>21</v>
      </c>
      <c r="D58" s="1164">
        <f>D51</f>
        <v>3.0000000000000027E-2</v>
      </c>
      <c r="E58" s="1164">
        <f t="shared" ref="E58:F58" si="7">E51</f>
        <v>4.3478260869565188E-2</v>
      </c>
      <c r="F58" s="1164">
        <f t="shared" si="7"/>
        <v>3.819444444444442E-2</v>
      </c>
    </row>
    <row r="59" spans="2:10" ht="12.6" customHeight="1" thickBot="1" x14ac:dyDescent="0.3">
      <c r="B59" s="9" t="s">
        <v>109</v>
      </c>
      <c r="C59" s="1163" t="s">
        <v>21</v>
      </c>
      <c r="D59" s="1164">
        <f>D49</f>
        <v>0.10000000000000009</v>
      </c>
      <c r="E59" s="1164">
        <f t="shared" ref="E59:F59" si="8">E49</f>
        <v>4.5454545454545414E-2</v>
      </c>
      <c r="F59" s="1164">
        <f t="shared" si="8"/>
        <v>4.3478260869565188E-2</v>
      </c>
    </row>
    <row r="60" spans="2:10" ht="12.6" customHeight="1" thickBot="1" x14ac:dyDescent="0.3">
      <c r="B60" s="291" t="s">
        <v>2</v>
      </c>
      <c r="C60" s="293">
        <v>0</v>
      </c>
      <c r="D60" s="293">
        <v>0</v>
      </c>
      <c r="E60" s="293">
        <v>0</v>
      </c>
      <c r="F60" s="293">
        <v>0</v>
      </c>
    </row>
    <row r="61" spans="2:10" ht="12.6" customHeight="1" thickBot="1" x14ac:dyDescent="0.3">
      <c r="B61" s="291" t="s">
        <v>28</v>
      </c>
      <c r="C61" s="294"/>
      <c r="D61" s="294"/>
      <c r="E61" s="294"/>
      <c r="F61" s="294"/>
    </row>
    <row r="62" spans="2:10" ht="12.6" customHeight="1" thickBot="1" x14ac:dyDescent="0.3">
      <c r="B62" s="291" t="s">
        <v>30</v>
      </c>
      <c r="C62" s="293">
        <v>0</v>
      </c>
      <c r="D62" s="293">
        <v>0</v>
      </c>
      <c r="E62" s="293">
        <v>0</v>
      </c>
      <c r="F62" s="293">
        <v>0</v>
      </c>
    </row>
    <row r="63" spans="2:10" ht="12.6" customHeight="1" thickBot="1" x14ac:dyDescent="0.3">
      <c r="B63" s="291" t="s">
        <v>3</v>
      </c>
      <c r="C63" s="293">
        <v>0</v>
      </c>
      <c r="D63" s="293">
        <v>0</v>
      </c>
      <c r="E63" s="293">
        <v>0</v>
      </c>
      <c r="F63" s="293">
        <v>0</v>
      </c>
    </row>
    <row r="64" spans="2:10" ht="12.6" customHeight="1" thickBot="1" x14ac:dyDescent="0.3">
      <c r="B64" s="325" t="s">
        <v>68</v>
      </c>
      <c r="C64" s="293">
        <f>C63+C62+C61+C60+C57+C56+C55</f>
        <v>10000</v>
      </c>
      <c r="D64" s="293">
        <f>D63+D62+D61+D60+D57+D56+D55</f>
        <v>11330</v>
      </c>
      <c r="E64" s="293">
        <f>E63+E62+E61+E60+E57+E56+E55</f>
        <v>12360</v>
      </c>
      <c r="F64" s="293">
        <f>F63+F62+F61+F60+F57+F56+F55</f>
        <v>13390</v>
      </c>
    </row>
    <row r="65" spans="1:9" ht="12.6" customHeight="1" thickBot="1" x14ac:dyDescent="0.3">
      <c r="B65" s="296" t="s">
        <v>70</v>
      </c>
      <c r="C65" s="297">
        <f>C64-C47</f>
        <v>0</v>
      </c>
      <c r="D65" s="297">
        <f>D64-D47</f>
        <v>0</v>
      </c>
      <c r="E65" s="297">
        <f>E64-E47</f>
        <v>0</v>
      </c>
      <c r="F65" s="297">
        <f>F64-F47</f>
        <v>0</v>
      </c>
    </row>
    <row r="66" spans="1:9" ht="27.6" customHeight="1" thickBot="1" x14ac:dyDescent="0.3">
      <c r="A66" s="273">
        <v>2</v>
      </c>
      <c r="B66" s="277" t="s">
        <v>22</v>
      </c>
      <c r="C66" s="2172" t="s">
        <v>505</v>
      </c>
      <c r="D66" s="2173"/>
      <c r="E66" s="2173"/>
      <c r="F66" s="2174"/>
    </row>
    <row r="67" spans="1:9" ht="12.6" customHeight="1" thickBot="1" x14ac:dyDescent="0.3">
      <c r="B67" s="2169" t="s">
        <v>495</v>
      </c>
      <c r="C67" s="2170"/>
      <c r="D67" s="2170"/>
      <c r="E67" s="2170"/>
      <c r="F67" s="2171"/>
      <c r="G67" s="278"/>
      <c r="I67" s="278"/>
    </row>
    <row r="68" spans="1:9" ht="12.6" customHeight="1" thickBot="1" x14ac:dyDescent="0.3">
      <c r="B68" s="279" t="s">
        <v>527</v>
      </c>
      <c r="C68" s="280">
        <f>40/C69</f>
        <v>3.1031807602792862E-2</v>
      </c>
      <c r="D68" s="280">
        <f t="shared" ref="D68:F68" si="9">40/D69</f>
        <v>3.1496062992125984E-2</v>
      </c>
      <c r="E68" s="280">
        <f t="shared" si="9"/>
        <v>3.2000000000000001E-2</v>
      </c>
      <c r="F68" s="280">
        <f t="shared" si="9"/>
        <v>3.2520325203252036E-2</v>
      </c>
    </row>
    <row r="69" spans="1:9" ht="22.15" customHeight="1" thickBot="1" x14ac:dyDescent="0.3">
      <c r="B69" s="279" t="s">
        <v>550</v>
      </c>
      <c r="C69" s="301">
        <v>1289</v>
      </c>
      <c r="D69" s="301">
        <v>1270</v>
      </c>
      <c r="E69" s="301">
        <v>1250</v>
      </c>
      <c r="F69" s="301">
        <v>1230</v>
      </c>
    </row>
    <row r="70" spans="1:9" ht="16.899999999999999" customHeight="1" thickBot="1" x14ac:dyDescent="0.3">
      <c r="B70" s="322" t="s">
        <v>501</v>
      </c>
      <c r="C70" s="323">
        <f>C71/C72</f>
        <v>0.41666666666666669</v>
      </c>
      <c r="D70" s="323">
        <f>D71/D72</f>
        <v>0.41666666666666669</v>
      </c>
      <c r="E70" s="323">
        <f t="shared" ref="E70:F70" si="10">E71/E72</f>
        <v>0.41666666666666669</v>
      </c>
      <c r="F70" s="323">
        <f t="shared" si="10"/>
        <v>0.41666666666666669</v>
      </c>
    </row>
    <row r="71" spans="1:9" ht="15" customHeight="1" thickBot="1" x14ac:dyDescent="0.3">
      <c r="B71" s="279" t="s">
        <v>520</v>
      </c>
      <c r="C71" s="324">
        <f>40</f>
        <v>40</v>
      </c>
      <c r="D71" s="324">
        <f>40</f>
        <v>40</v>
      </c>
      <c r="E71" s="324">
        <f>40</f>
        <v>40</v>
      </c>
      <c r="F71" s="324">
        <f>40</f>
        <v>40</v>
      </c>
    </row>
    <row r="72" spans="1:9" ht="27.6" customHeight="1" thickBot="1" x14ac:dyDescent="0.3">
      <c r="B72" s="279" t="s">
        <v>521</v>
      </c>
      <c r="C72" s="281">
        <v>96</v>
      </c>
      <c r="D72" s="281">
        <v>96</v>
      </c>
      <c r="E72" s="281">
        <v>96</v>
      </c>
      <c r="F72" s="281">
        <v>96</v>
      </c>
    </row>
    <row r="73" spans="1:9" ht="12.6" customHeight="1" thickBot="1" x14ac:dyDescent="0.3">
      <c r="B73" s="2146" t="s">
        <v>67</v>
      </c>
      <c r="C73" s="2147"/>
      <c r="D73" s="2147"/>
      <c r="E73" s="2147"/>
      <c r="F73" s="2148"/>
    </row>
    <row r="74" spans="1:9" ht="12.6" customHeight="1" thickBot="1" x14ac:dyDescent="0.3">
      <c r="B74" s="2146" t="s">
        <v>121</v>
      </c>
      <c r="C74" s="2147"/>
      <c r="D74" s="2147"/>
      <c r="E74" s="2147"/>
      <c r="F74" s="2148"/>
    </row>
    <row r="75" spans="1:9" ht="34.9" customHeight="1" thickBot="1" x14ac:dyDescent="0.3">
      <c r="B75" s="299" t="s">
        <v>45</v>
      </c>
      <c r="C75" s="2143" t="s">
        <v>502</v>
      </c>
      <c r="D75" s="2144"/>
      <c r="E75" s="2144"/>
      <c r="F75" s="2145"/>
    </row>
    <row r="76" spans="1:9" ht="50.45" customHeight="1" thickBot="1" x14ac:dyDescent="0.3">
      <c r="B76" s="1141" t="s">
        <v>10</v>
      </c>
      <c r="C76" s="2143" t="s">
        <v>496</v>
      </c>
      <c r="D76" s="2144"/>
      <c r="E76" s="2144"/>
      <c r="F76" s="2145"/>
    </row>
    <row r="77" spans="1:9" ht="12.6" customHeight="1" thickBot="1" x14ac:dyDescent="0.3">
      <c r="B77" s="1141" t="s">
        <v>13</v>
      </c>
      <c r="C77" s="2129" t="s">
        <v>514</v>
      </c>
      <c r="D77" s="2130"/>
      <c r="E77" s="2130"/>
      <c r="F77" s="2131"/>
    </row>
    <row r="78" spans="1:9" ht="12.6" customHeight="1" x14ac:dyDescent="0.25">
      <c r="B78" s="2132"/>
      <c r="C78" s="285">
        <v>2018</v>
      </c>
      <c r="D78" s="285">
        <v>2019</v>
      </c>
      <c r="E78" s="285">
        <v>2020</v>
      </c>
      <c r="F78" s="285">
        <v>2021</v>
      </c>
    </row>
    <row r="79" spans="1:9" ht="12.6" customHeight="1" thickBot="1" x14ac:dyDescent="0.3">
      <c r="B79" s="2133"/>
      <c r="C79" s="286" t="s">
        <v>6</v>
      </c>
      <c r="D79" s="286" t="s">
        <v>7</v>
      </c>
      <c r="E79" s="286" t="s">
        <v>7</v>
      </c>
      <c r="F79" s="286" t="s">
        <v>7</v>
      </c>
    </row>
    <row r="80" spans="1:9" ht="12.6" customHeight="1" thickBot="1" x14ac:dyDescent="0.3">
      <c r="B80" s="1133" t="s">
        <v>9</v>
      </c>
      <c r="C80" s="286">
        <v>80</v>
      </c>
      <c r="D80" s="286">
        <v>80</v>
      </c>
      <c r="E80" s="286">
        <v>80</v>
      </c>
      <c r="F80" s="286">
        <v>80</v>
      </c>
    </row>
    <row r="81" spans="2:10" ht="12.6" customHeight="1" thickBot="1" x14ac:dyDescent="0.3">
      <c r="B81" s="1141" t="s">
        <v>14</v>
      </c>
      <c r="C81" s="288">
        <v>52850</v>
      </c>
      <c r="D81" s="288">
        <v>56925.53</v>
      </c>
      <c r="E81" s="288">
        <v>61372.555500000009</v>
      </c>
      <c r="F81" s="288">
        <v>68379.193125000005</v>
      </c>
    </row>
    <row r="82" spans="2:10" ht="12.6" customHeight="1" thickBot="1" x14ac:dyDescent="0.3">
      <c r="B82" s="1141" t="s">
        <v>23</v>
      </c>
      <c r="C82" s="288">
        <v>660.63</v>
      </c>
      <c r="D82" s="288">
        <v>660.63</v>
      </c>
      <c r="E82" s="288">
        <v>660.63</v>
      </c>
      <c r="F82" s="288">
        <v>660.63</v>
      </c>
    </row>
    <row r="83" spans="2:10" ht="12.6" customHeight="1" thickBot="1" x14ac:dyDescent="0.3">
      <c r="B83" s="1141" t="s">
        <v>15</v>
      </c>
      <c r="C83" s="1133" t="s">
        <v>21</v>
      </c>
      <c r="D83" s="289">
        <f>D80/C80-1</f>
        <v>0</v>
      </c>
      <c r="E83" s="289">
        <f t="shared" ref="E83:F85" si="11">E80/D80-1</f>
        <v>0</v>
      </c>
      <c r="F83" s="289">
        <f t="shared" si="11"/>
        <v>0</v>
      </c>
    </row>
    <row r="84" spans="2:10" ht="12.6" customHeight="1" thickBot="1" x14ac:dyDescent="0.3">
      <c r="B84" s="1141" t="s">
        <v>16</v>
      </c>
      <c r="C84" s="1133" t="s">
        <v>21</v>
      </c>
      <c r="D84" s="289">
        <f>D81/C81-1</f>
        <v>7.7115042573320691E-2</v>
      </c>
      <c r="E84" s="289">
        <f t="shared" si="11"/>
        <v>7.8120054393872262E-2</v>
      </c>
      <c r="F84" s="289">
        <f t="shared" si="11"/>
        <v>0.11416564892755687</v>
      </c>
    </row>
    <row r="85" spans="2:10" ht="12.6" customHeight="1" thickBot="1" x14ac:dyDescent="0.3">
      <c r="B85" s="1141" t="s">
        <v>17</v>
      </c>
      <c r="C85" s="1133" t="s">
        <v>21</v>
      </c>
      <c r="D85" s="289">
        <f>D82/C82-1</f>
        <v>0</v>
      </c>
      <c r="E85" s="289">
        <f t="shared" si="11"/>
        <v>0</v>
      </c>
      <c r="F85" s="289">
        <f t="shared" si="11"/>
        <v>0</v>
      </c>
    </row>
    <row r="86" spans="2:10" ht="18.600000000000001" customHeight="1" thickBot="1" x14ac:dyDescent="0.3">
      <c r="B86" s="2134" t="s">
        <v>503</v>
      </c>
      <c r="C86" s="2135"/>
      <c r="D86" s="2135"/>
      <c r="E86" s="2135"/>
      <c r="F86" s="2136"/>
    </row>
    <row r="87" spans="2:10" ht="12.6" customHeight="1" x14ac:dyDescent="0.25">
      <c r="B87" s="2132"/>
      <c r="C87" s="285">
        <v>2018</v>
      </c>
      <c r="D87" s="285">
        <v>2019</v>
      </c>
      <c r="E87" s="285">
        <v>2020</v>
      </c>
      <c r="F87" s="285">
        <v>2021</v>
      </c>
    </row>
    <row r="88" spans="2:10" ht="12.6" customHeight="1" thickBot="1" x14ac:dyDescent="0.3">
      <c r="B88" s="2133"/>
      <c r="C88" s="286" t="s">
        <v>6</v>
      </c>
      <c r="D88" s="286" t="s">
        <v>7</v>
      </c>
      <c r="E88" s="286" t="s">
        <v>7</v>
      </c>
      <c r="F88" s="286" t="s">
        <v>7</v>
      </c>
      <c r="G88" s="1165">
        <f>SUM(G89:G95)</f>
        <v>61372.555500000009</v>
      </c>
      <c r="H88" s="1165">
        <f t="shared" ref="H88:I88" si="12">SUM(H89:H95)</f>
        <v>66226.917725000007</v>
      </c>
      <c r="I88" s="1165">
        <f t="shared" si="12"/>
        <v>73895.732312750013</v>
      </c>
    </row>
    <row r="89" spans="2:10" ht="12.6" customHeight="1" thickBot="1" x14ac:dyDescent="0.3">
      <c r="B89" s="291" t="s">
        <v>0</v>
      </c>
      <c r="C89" s="292">
        <v>30484</v>
      </c>
      <c r="D89" s="292">
        <v>33532.400000000001</v>
      </c>
      <c r="E89" s="292">
        <v>36885.640000000007</v>
      </c>
      <c r="F89" s="292">
        <v>42418.486000000004</v>
      </c>
      <c r="G89" s="1161">
        <f>D89*1.1</f>
        <v>36885.640000000007</v>
      </c>
      <c r="H89" s="1161">
        <f>G89*1.1</f>
        <v>40574.204000000012</v>
      </c>
      <c r="I89" s="1161">
        <f>H89*1.15</f>
        <v>46660.334600000009</v>
      </c>
      <c r="J89" s="274">
        <f>C89*1.4</f>
        <v>42677.599999999999</v>
      </c>
    </row>
    <row r="90" spans="2:10" ht="12.6" customHeight="1" thickBot="1" x14ac:dyDescent="0.3">
      <c r="B90" s="9" t="s">
        <v>51</v>
      </c>
      <c r="C90" s="1163" t="s">
        <v>21</v>
      </c>
      <c r="D90" s="1164">
        <v>7.7115042573320691E-2</v>
      </c>
      <c r="E90" s="1164">
        <v>7.8120054393872262E-2</v>
      </c>
      <c r="F90" s="1164">
        <v>0.11416564892755687</v>
      </c>
      <c r="G90" s="1161"/>
      <c r="H90" s="1161"/>
      <c r="I90" s="1161"/>
    </row>
    <row r="91" spans="2:10" ht="12.6" customHeight="1" thickBot="1" x14ac:dyDescent="0.3">
      <c r="B91" s="9" t="s">
        <v>107</v>
      </c>
      <c r="C91" s="1163" t="s">
        <v>21</v>
      </c>
      <c r="D91" s="289">
        <v>0</v>
      </c>
      <c r="E91" s="289">
        <v>0</v>
      </c>
      <c r="F91" s="289">
        <v>0</v>
      </c>
      <c r="G91" s="1161"/>
      <c r="H91" s="1161"/>
      <c r="I91" s="1161"/>
    </row>
    <row r="92" spans="2:10" ht="12.6" customHeight="1" thickBot="1" x14ac:dyDescent="0.3">
      <c r="B92" s="291" t="s">
        <v>49</v>
      </c>
      <c r="C92" s="292">
        <v>5090.8</v>
      </c>
      <c r="D92" s="292">
        <v>5599.880000000001</v>
      </c>
      <c r="E92" s="292">
        <v>6159.8680000000013</v>
      </c>
      <c r="F92" s="292">
        <v>7083.8482000000013</v>
      </c>
      <c r="G92" s="1161">
        <f>D92*1.1</f>
        <v>6159.8680000000013</v>
      </c>
      <c r="H92" s="1161">
        <f>G92*1.1</f>
        <v>6775.8548000000019</v>
      </c>
      <c r="I92" s="1161">
        <f>H92*1.15</f>
        <v>7792.2330200000015</v>
      </c>
      <c r="J92" s="274">
        <f>C92*1.4</f>
        <v>7127.12</v>
      </c>
    </row>
    <row r="93" spans="2:10" ht="12.6" customHeight="1" thickBot="1" x14ac:dyDescent="0.3">
      <c r="B93" s="9" t="s">
        <v>53</v>
      </c>
      <c r="C93" s="1163" t="s">
        <v>21</v>
      </c>
      <c r="D93" s="1164">
        <v>7.7115042573320691E-2</v>
      </c>
      <c r="E93" s="1164">
        <v>7.8120054393872262E-2</v>
      </c>
      <c r="F93" s="1164">
        <v>0.11416564892755687</v>
      </c>
      <c r="G93" s="1161"/>
      <c r="H93" s="1161"/>
      <c r="I93" s="1161"/>
    </row>
    <row r="94" spans="2:10" ht="12.6" customHeight="1" thickBot="1" x14ac:dyDescent="0.3">
      <c r="B94" s="9" t="s">
        <v>108</v>
      </c>
      <c r="C94" s="1163" t="s">
        <v>21</v>
      </c>
      <c r="D94" s="289">
        <v>0</v>
      </c>
      <c r="E94" s="289">
        <v>0</v>
      </c>
      <c r="F94" s="289">
        <v>0</v>
      </c>
      <c r="G94" s="1161"/>
      <c r="H94" s="1161"/>
      <c r="I94" s="1161"/>
    </row>
    <row r="95" spans="2:10" ht="12.6" customHeight="1" thickBot="1" x14ac:dyDescent="0.3">
      <c r="B95" s="291" t="s">
        <v>1</v>
      </c>
      <c r="C95" s="293">
        <v>17275</v>
      </c>
      <c r="D95" s="293">
        <v>17793.25</v>
      </c>
      <c r="E95" s="293">
        <v>18327.047500000001</v>
      </c>
      <c r="F95" s="293">
        <v>18876.858925</v>
      </c>
      <c r="G95" s="1161">
        <f>D95*1.03</f>
        <v>18327.047500000001</v>
      </c>
      <c r="H95" s="1161">
        <f>G95*1.03</f>
        <v>18876.858925</v>
      </c>
      <c r="I95" s="1161">
        <f>H95*1.03</f>
        <v>19443.164692750001</v>
      </c>
    </row>
    <row r="96" spans="2:10" ht="12.6" customHeight="1" thickBot="1" x14ac:dyDescent="0.3">
      <c r="B96" s="9" t="s">
        <v>56</v>
      </c>
      <c r="C96" s="1163" t="s">
        <v>21</v>
      </c>
      <c r="D96" s="1164">
        <v>7.7115042573320691E-2</v>
      </c>
      <c r="E96" s="1164">
        <v>7.8120054393872262E-2</v>
      </c>
      <c r="F96" s="1164">
        <v>0.11416564892755687</v>
      </c>
      <c r="G96" s="1161"/>
      <c r="H96" s="1161"/>
      <c r="I96" s="1161"/>
    </row>
    <row r="97" spans="1:9" ht="12.6" customHeight="1" thickBot="1" x14ac:dyDescent="0.3">
      <c r="B97" s="9" t="s">
        <v>109</v>
      </c>
      <c r="C97" s="1163" t="s">
        <v>21</v>
      </c>
      <c r="D97" s="1164">
        <v>0</v>
      </c>
      <c r="E97" s="1164">
        <v>0</v>
      </c>
      <c r="F97" s="1164">
        <v>0</v>
      </c>
      <c r="G97" s="1161"/>
      <c r="H97" s="1161"/>
      <c r="I97" s="1161"/>
    </row>
    <row r="98" spans="1:9" ht="12.6" customHeight="1" thickBot="1" x14ac:dyDescent="0.3">
      <c r="B98" s="291" t="s">
        <v>2</v>
      </c>
      <c r="C98" s="293">
        <v>0</v>
      </c>
      <c r="D98" s="293">
        <v>0</v>
      </c>
      <c r="E98" s="293">
        <v>0</v>
      </c>
      <c r="F98" s="293">
        <v>0</v>
      </c>
    </row>
    <row r="99" spans="1:9" ht="12.6" customHeight="1" thickBot="1" x14ac:dyDescent="0.3">
      <c r="B99" s="291" t="s">
        <v>28</v>
      </c>
      <c r="C99" s="293">
        <v>0</v>
      </c>
      <c r="D99" s="293">
        <v>0</v>
      </c>
      <c r="E99" s="293">
        <v>0</v>
      </c>
      <c r="F99" s="293">
        <v>0</v>
      </c>
    </row>
    <row r="100" spans="1:9" ht="12.6" customHeight="1" thickBot="1" x14ac:dyDescent="0.3">
      <c r="B100" s="291" t="s">
        <v>30</v>
      </c>
      <c r="C100" s="293">
        <v>0</v>
      </c>
      <c r="D100" s="293">
        <v>0</v>
      </c>
      <c r="E100" s="293">
        <v>0</v>
      </c>
      <c r="F100" s="293">
        <v>0</v>
      </c>
    </row>
    <row r="101" spans="1:9" ht="12.6" customHeight="1" thickBot="1" x14ac:dyDescent="0.3">
      <c r="B101" s="291" t="s">
        <v>3</v>
      </c>
      <c r="C101" s="293">
        <v>0</v>
      </c>
      <c r="D101" s="293">
        <v>0</v>
      </c>
      <c r="E101" s="293">
        <v>0</v>
      </c>
      <c r="F101" s="293">
        <v>0</v>
      </c>
    </row>
    <row r="102" spans="1:9" ht="12.6" customHeight="1" thickBot="1" x14ac:dyDescent="0.3">
      <c r="B102" s="325" t="s">
        <v>68</v>
      </c>
      <c r="C102" s="293">
        <f>C101+C100+C99+C98+C95+C92+C89</f>
        <v>52849.8</v>
      </c>
      <c r="D102" s="293">
        <f>D101+D100+D99+D98+D95+D92+D89</f>
        <v>56925.53</v>
      </c>
      <c r="E102" s="293">
        <f>E101+E100+E99+E98+E95+E92+E89</f>
        <v>61372.555500000009</v>
      </c>
      <c r="F102" s="293">
        <f>F101+F100+F99+F98+F95+F92+F89</f>
        <v>68379.193125000005</v>
      </c>
    </row>
    <row r="103" spans="1:9" ht="12.6" customHeight="1" thickBot="1" x14ac:dyDescent="0.3">
      <c r="B103" s="296" t="s">
        <v>70</v>
      </c>
      <c r="C103" s="297">
        <f>C81-C102</f>
        <v>0.19999999999708962</v>
      </c>
      <c r="D103" s="297">
        <f>D81-D102</f>
        <v>0</v>
      </c>
      <c r="E103" s="297">
        <f t="shared" ref="E103:F103" si="13">E81-E102</f>
        <v>0</v>
      </c>
      <c r="F103" s="297">
        <f t="shared" si="13"/>
        <v>0</v>
      </c>
    </row>
    <row r="104" spans="1:9" ht="55.15" customHeight="1" thickBot="1" x14ac:dyDescent="0.3">
      <c r="A104" s="273">
        <v>3</v>
      </c>
      <c r="B104" s="277" t="s">
        <v>497</v>
      </c>
      <c r="C104" s="2143" t="s">
        <v>952</v>
      </c>
      <c r="D104" s="2144"/>
      <c r="E104" s="2144"/>
      <c r="F104" s="2145"/>
    </row>
    <row r="105" spans="1:9" ht="17.45" customHeight="1" thickBot="1" x14ac:dyDescent="0.3">
      <c r="B105" s="2169" t="s">
        <v>506</v>
      </c>
      <c r="C105" s="2170"/>
      <c r="D105" s="2170"/>
      <c r="E105" s="2170"/>
      <c r="F105" s="2171"/>
    </row>
    <row r="106" spans="1:9" ht="30" customHeight="1" thickBot="1" x14ac:dyDescent="0.3">
      <c r="B106" s="279" t="s">
        <v>507</v>
      </c>
      <c r="C106" s="280">
        <f>100/C107</f>
        <v>7.7579519006982151E-2</v>
      </c>
      <c r="D106" s="280">
        <f>100/D107</f>
        <v>7.874015748031496E-2</v>
      </c>
      <c r="E106" s="280">
        <f>100/E107</f>
        <v>0.08</v>
      </c>
      <c r="F106" s="280">
        <f>100/F107</f>
        <v>8.1300813008130079E-2</v>
      </c>
    </row>
    <row r="107" spans="1:9" ht="40.15" customHeight="1" thickBot="1" x14ac:dyDescent="0.3">
      <c r="B107" s="279" t="s">
        <v>508</v>
      </c>
      <c r="C107" s="301">
        <v>1289</v>
      </c>
      <c r="D107" s="301">
        <v>1270</v>
      </c>
      <c r="E107" s="301">
        <v>1250</v>
      </c>
      <c r="F107" s="301">
        <v>1230</v>
      </c>
    </row>
    <row r="108" spans="1:9" ht="31.9" customHeight="1" thickBot="1" x14ac:dyDescent="0.3">
      <c r="B108" s="279" t="s">
        <v>509</v>
      </c>
      <c r="C108" s="282">
        <f>C107/C109</f>
        <v>4.1575280608953685E-2</v>
      </c>
      <c r="D108" s="282">
        <f>D107/D109</f>
        <v>4.0962456457231324E-2</v>
      </c>
      <c r="E108" s="282">
        <f t="shared" ref="E108:F108" si="14">E107/E109</f>
        <v>4.0317378402786735E-2</v>
      </c>
      <c r="F108" s="282">
        <f t="shared" si="14"/>
        <v>3.9672300348342147E-2</v>
      </c>
    </row>
    <row r="109" spans="1:9" ht="12.6" customHeight="1" thickBot="1" x14ac:dyDescent="0.3">
      <c r="B109" s="279" t="s">
        <v>516</v>
      </c>
      <c r="C109" s="326">
        <v>31004</v>
      </c>
      <c r="D109" s="326">
        <v>31004</v>
      </c>
      <c r="E109" s="326">
        <v>31004</v>
      </c>
      <c r="F109" s="326">
        <v>31004</v>
      </c>
    </row>
    <row r="110" spans="1:9" ht="26.45" customHeight="1" thickBot="1" x14ac:dyDescent="0.3">
      <c r="B110" s="279" t="s">
        <v>953</v>
      </c>
      <c r="C110" s="281">
        <v>96</v>
      </c>
      <c r="D110" s="281">
        <v>96</v>
      </c>
      <c r="E110" s="281">
        <v>96</v>
      </c>
      <c r="F110" s="281">
        <v>96</v>
      </c>
    </row>
    <row r="111" spans="1:9" ht="12.6" customHeight="1" thickBot="1" x14ac:dyDescent="0.3">
      <c r="B111" s="2146" t="s">
        <v>536</v>
      </c>
      <c r="C111" s="2147"/>
      <c r="D111" s="2147"/>
      <c r="E111" s="2147"/>
      <c r="F111" s="2148"/>
    </row>
    <row r="112" spans="1:9" ht="12.6" customHeight="1" thickBot="1" x14ac:dyDescent="0.3">
      <c r="B112" s="2146" t="s">
        <v>121</v>
      </c>
      <c r="C112" s="2147"/>
      <c r="D112" s="2147"/>
      <c r="E112" s="2147"/>
      <c r="F112" s="2148"/>
    </row>
    <row r="113" spans="2:9" ht="52.9" customHeight="1" thickBot="1" x14ac:dyDescent="0.3">
      <c r="B113" s="299" t="s">
        <v>492</v>
      </c>
      <c r="C113" s="2143" t="s">
        <v>1014</v>
      </c>
      <c r="D113" s="2144"/>
      <c r="E113" s="2144"/>
      <c r="F113" s="2145"/>
    </row>
    <row r="114" spans="2:9" ht="61.15" customHeight="1" thickBot="1" x14ac:dyDescent="0.3">
      <c r="B114" s="1141" t="s">
        <v>10</v>
      </c>
      <c r="C114" s="2143" t="s">
        <v>1015</v>
      </c>
      <c r="D114" s="2144"/>
      <c r="E114" s="2144"/>
      <c r="F114" s="2145"/>
    </row>
    <row r="115" spans="2:9" ht="12.6" customHeight="1" thickBot="1" x14ac:dyDescent="0.3">
      <c r="B115" s="1141" t="s">
        <v>13</v>
      </c>
      <c r="C115" s="2154" t="s">
        <v>513</v>
      </c>
      <c r="D115" s="2155"/>
      <c r="E115" s="2155"/>
      <c r="F115" s="2156"/>
    </row>
    <row r="116" spans="2:9" ht="12.6" customHeight="1" x14ac:dyDescent="0.25">
      <c r="B116" s="2132"/>
      <c r="C116" s="285">
        <v>2018</v>
      </c>
      <c r="D116" s="285">
        <v>2019</v>
      </c>
      <c r="E116" s="285">
        <v>2020</v>
      </c>
      <c r="F116" s="285">
        <v>2021</v>
      </c>
    </row>
    <row r="117" spans="2:9" ht="12.6" customHeight="1" thickBot="1" x14ac:dyDescent="0.3">
      <c r="B117" s="2133"/>
      <c r="C117" s="286" t="s">
        <v>6</v>
      </c>
      <c r="D117" s="286" t="s">
        <v>7</v>
      </c>
      <c r="E117" s="286" t="s">
        <v>7</v>
      </c>
      <c r="F117" s="286" t="s">
        <v>7</v>
      </c>
    </row>
    <row r="118" spans="2:9" ht="12.6" customHeight="1" thickBot="1" x14ac:dyDescent="0.3">
      <c r="B118" s="1133" t="s">
        <v>9</v>
      </c>
      <c r="C118" s="286">
        <v>100</v>
      </c>
      <c r="D118" s="286">
        <v>100</v>
      </c>
      <c r="E118" s="286">
        <v>100</v>
      </c>
      <c r="F118" s="286">
        <v>100</v>
      </c>
    </row>
    <row r="119" spans="2:9" ht="12.6" customHeight="1" thickBot="1" x14ac:dyDescent="0.3">
      <c r="B119" s="1141" t="s">
        <v>14</v>
      </c>
      <c r="C119" s="1169">
        <v>10000</v>
      </c>
      <c r="D119" s="1169">
        <v>10000</v>
      </c>
      <c r="E119" s="1169">
        <v>10000</v>
      </c>
      <c r="F119" s="1169">
        <v>10000</v>
      </c>
      <c r="G119" s="1161">
        <f>D119*1.03</f>
        <v>10300</v>
      </c>
      <c r="H119" s="1161">
        <f>G119*1.03</f>
        <v>10609</v>
      </c>
      <c r="I119" s="1161">
        <f>H119*1.03</f>
        <v>10927.27</v>
      </c>
    </row>
    <row r="120" spans="2:9" ht="12.6" customHeight="1" thickBot="1" x14ac:dyDescent="0.3">
      <c r="B120" s="1141" t="s">
        <v>23</v>
      </c>
      <c r="C120" s="287">
        <v>660.63</v>
      </c>
      <c r="D120" s="287">
        <v>660.63</v>
      </c>
      <c r="E120" s="287">
        <v>660.63</v>
      </c>
      <c r="F120" s="287">
        <v>660.63</v>
      </c>
    </row>
    <row r="121" spans="2:9" ht="12.6" customHeight="1" thickBot="1" x14ac:dyDescent="0.3">
      <c r="B121" s="1141" t="s">
        <v>15</v>
      </c>
      <c r="C121" s="1133" t="s">
        <v>21</v>
      </c>
      <c r="D121" s="289">
        <f>D118/C118-1</f>
        <v>0</v>
      </c>
      <c r="E121" s="289">
        <f t="shared" ref="E121:F123" si="15">E118/D118-1</f>
        <v>0</v>
      </c>
      <c r="F121" s="289">
        <f t="shared" si="15"/>
        <v>0</v>
      </c>
    </row>
    <row r="122" spans="2:9" ht="12.6" customHeight="1" thickBot="1" x14ac:dyDescent="0.3">
      <c r="B122" s="1141" t="s">
        <v>16</v>
      </c>
      <c r="C122" s="1133" t="s">
        <v>21</v>
      </c>
      <c r="D122" s="289">
        <f>D119/C119-1</f>
        <v>0</v>
      </c>
      <c r="E122" s="289">
        <f t="shared" si="15"/>
        <v>0</v>
      </c>
      <c r="F122" s="289">
        <f t="shared" si="15"/>
        <v>0</v>
      </c>
    </row>
    <row r="123" spans="2:9" ht="12.6" customHeight="1" thickBot="1" x14ac:dyDescent="0.3">
      <c r="B123" s="1141" t="s">
        <v>17</v>
      </c>
      <c r="C123" s="1133" t="s">
        <v>21</v>
      </c>
      <c r="D123" s="289">
        <f>D120/C120-1</f>
        <v>0</v>
      </c>
      <c r="E123" s="289">
        <f t="shared" si="15"/>
        <v>0</v>
      </c>
      <c r="F123" s="289">
        <f t="shared" si="15"/>
        <v>0</v>
      </c>
    </row>
    <row r="124" spans="2:9" ht="12.6" customHeight="1" thickBot="1" x14ac:dyDescent="0.3">
      <c r="B124" s="2134" t="s">
        <v>139</v>
      </c>
      <c r="C124" s="2135"/>
      <c r="D124" s="2135"/>
      <c r="E124" s="2135"/>
      <c r="F124" s="2136"/>
    </row>
    <row r="125" spans="2:9" ht="12.6" customHeight="1" x14ac:dyDescent="0.25">
      <c r="B125" s="2132"/>
      <c r="C125" s="285">
        <v>2018</v>
      </c>
      <c r="D125" s="285">
        <v>2019</v>
      </c>
      <c r="E125" s="285">
        <v>2020</v>
      </c>
      <c r="F125" s="285">
        <v>2021</v>
      </c>
    </row>
    <row r="126" spans="2:9" ht="12.6" customHeight="1" thickBot="1" x14ac:dyDescent="0.3">
      <c r="B126" s="2133"/>
      <c r="C126" s="286" t="s">
        <v>6</v>
      </c>
      <c r="D126" s="286" t="s">
        <v>7</v>
      </c>
      <c r="E126" s="286" t="s">
        <v>7</v>
      </c>
      <c r="F126" s="286" t="s">
        <v>7</v>
      </c>
    </row>
    <row r="127" spans="2:9" ht="12.6" customHeight="1" thickBot="1" x14ac:dyDescent="0.3">
      <c r="B127" s="291" t="s">
        <v>0</v>
      </c>
      <c r="C127" s="292">
        <v>0</v>
      </c>
      <c r="D127" s="292">
        <v>0</v>
      </c>
      <c r="E127" s="292">
        <v>0</v>
      </c>
      <c r="F127" s="292">
        <v>0</v>
      </c>
    </row>
    <row r="128" spans="2:9" ht="12.6" customHeight="1" thickBot="1" x14ac:dyDescent="0.3">
      <c r="B128" s="291" t="s">
        <v>49</v>
      </c>
      <c r="C128" s="292">
        <v>0</v>
      </c>
      <c r="D128" s="292">
        <v>0</v>
      </c>
      <c r="E128" s="292">
        <v>0</v>
      </c>
      <c r="F128" s="292">
        <v>0</v>
      </c>
    </row>
    <row r="129" spans="1:6" ht="12.6" customHeight="1" thickBot="1" x14ac:dyDescent="0.3">
      <c r="B129" s="291" t="s">
        <v>1</v>
      </c>
      <c r="C129" s="1398">
        <f>C119</f>
        <v>10000</v>
      </c>
      <c r="D129" s="1398">
        <f t="shared" ref="D129:F129" si="16">D119</f>
        <v>10000</v>
      </c>
      <c r="E129" s="1398">
        <f t="shared" si="16"/>
        <v>10000</v>
      </c>
      <c r="F129" s="1398">
        <f t="shared" si="16"/>
        <v>10000</v>
      </c>
    </row>
    <row r="130" spans="1:6" ht="12.6" customHeight="1" thickBot="1" x14ac:dyDescent="0.3">
      <c r="B130" s="9" t="s">
        <v>56</v>
      </c>
      <c r="C130" s="1163" t="s">
        <v>21</v>
      </c>
      <c r="D130" s="1164">
        <v>3.0000000000000027E-2</v>
      </c>
      <c r="E130" s="1164">
        <v>3.0000000000000027E-2</v>
      </c>
      <c r="F130" s="1164">
        <v>3.0000000000000027E-2</v>
      </c>
    </row>
    <row r="131" spans="1:6" ht="12.6" customHeight="1" thickBot="1" x14ac:dyDescent="0.3">
      <c r="B131" s="9" t="s">
        <v>109</v>
      </c>
      <c r="C131" s="1163" t="s">
        <v>21</v>
      </c>
      <c r="D131" s="1164">
        <v>0</v>
      </c>
      <c r="E131" s="1164">
        <v>0</v>
      </c>
      <c r="F131" s="1164">
        <v>0</v>
      </c>
    </row>
    <row r="132" spans="1:6" ht="12.6" customHeight="1" thickBot="1" x14ac:dyDescent="0.3">
      <c r="B132" s="291" t="s">
        <v>2</v>
      </c>
      <c r="C132" s="293">
        <v>0</v>
      </c>
      <c r="D132" s="293">
        <v>0</v>
      </c>
      <c r="E132" s="293">
        <v>0</v>
      </c>
      <c r="F132" s="293">
        <v>0</v>
      </c>
    </row>
    <row r="133" spans="1:6" ht="12.6" customHeight="1" thickBot="1" x14ac:dyDescent="0.3">
      <c r="B133" s="291" t="s">
        <v>28</v>
      </c>
      <c r="C133" s="293">
        <v>0</v>
      </c>
      <c r="D133" s="293">
        <v>0</v>
      </c>
      <c r="E133" s="293">
        <v>0</v>
      </c>
      <c r="F133" s="293">
        <v>0</v>
      </c>
    </row>
    <row r="134" spans="1:6" ht="12.6" customHeight="1" thickBot="1" x14ac:dyDescent="0.3">
      <c r="B134" s="291" t="s">
        <v>30</v>
      </c>
      <c r="C134" s="293">
        <v>0</v>
      </c>
      <c r="D134" s="293">
        <v>0</v>
      </c>
      <c r="E134" s="293">
        <v>0</v>
      </c>
      <c r="F134" s="293">
        <v>0</v>
      </c>
    </row>
    <row r="135" spans="1:6" ht="12.6" customHeight="1" thickBot="1" x14ac:dyDescent="0.3">
      <c r="B135" s="291" t="s">
        <v>3</v>
      </c>
      <c r="C135" s="293">
        <v>0</v>
      </c>
      <c r="D135" s="293">
        <v>0</v>
      </c>
      <c r="E135" s="293">
        <v>0</v>
      </c>
      <c r="F135" s="293">
        <v>0</v>
      </c>
    </row>
    <row r="136" spans="1:6" ht="12.6" customHeight="1" thickBot="1" x14ac:dyDescent="0.3">
      <c r="B136" s="300" t="s">
        <v>71</v>
      </c>
      <c r="C136" s="1171">
        <f>C135+C134+C133+C132+C129+C128+C127</f>
        <v>10000</v>
      </c>
      <c r="D136" s="1171">
        <f>D135+D134+D133+D132+D129+D128+D127</f>
        <v>10000</v>
      </c>
      <c r="E136" s="1171">
        <f>E135+E134+E133+E132+E129+E128+E127</f>
        <v>10000</v>
      </c>
      <c r="F136" s="1171">
        <f>F135+F134+F133+F132+F129+F128+F127</f>
        <v>10000</v>
      </c>
    </row>
    <row r="137" spans="1:6" ht="12.6" customHeight="1" thickBot="1" x14ac:dyDescent="0.3">
      <c r="B137" s="296" t="s">
        <v>70</v>
      </c>
      <c r="C137" s="297">
        <f>C119-C136</f>
        <v>0</v>
      </c>
      <c r="D137" s="297">
        <f t="shared" ref="D137:F137" si="17">D119-D136</f>
        <v>0</v>
      </c>
      <c r="E137" s="297">
        <f t="shared" si="17"/>
        <v>0</v>
      </c>
      <c r="F137" s="297">
        <f t="shared" si="17"/>
        <v>0</v>
      </c>
    </row>
    <row r="138" spans="1:6" ht="66.599999999999994" customHeight="1" thickBot="1" x14ac:dyDescent="0.3">
      <c r="A138" s="303">
        <v>4</v>
      </c>
      <c r="B138" s="277" t="s">
        <v>512</v>
      </c>
      <c r="C138" s="2143" t="s">
        <v>954</v>
      </c>
      <c r="D138" s="2144"/>
      <c r="E138" s="2144"/>
      <c r="F138" s="2145"/>
    </row>
    <row r="139" spans="1:6" ht="17.45" customHeight="1" thickBot="1" x14ac:dyDescent="0.3">
      <c r="B139" s="2166" t="s">
        <v>537</v>
      </c>
      <c r="C139" s="2167"/>
      <c r="D139" s="2167"/>
      <c r="E139" s="2167"/>
      <c r="F139" s="2168"/>
    </row>
    <row r="140" spans="1:6" ht="13.9" customHeight="1" thickBot="1" x14ac:dyDescent="0.3">
      <c r="B140" s="1401" t="s">
        <v>522</v>
      </c>
      <c r="C140" s="1404">
        <f>C141/C142</f>
        <v>2.0739259450393496E-2</v>
      </c>
      <c r="D140" s="1404">
        <f t="shared" ref="D140:F140" si="18">D141/D142</f>
        <v>2.0739259450393496E-2</v>
      </c>
      <c r="E140" s="1404">
        <f t="shared" si="18"/>
        <v>2.0739259450393496E-2</v>
      </c>
      <c r="F140" s="1404">
        <f t="shared" si="18"/>
        <v>2.0739259450393496E-2</v>
      </c>
    </row>
    <row r="141" spans="1:6" ht="30" customHeight="1" thickBot="1" x14ac:dyDescent="0.3">
      <c r="B141" s="1402" t="s">
        <v>528</v>
      </c>
      <c r="C141" s="1405">
        <v>643</v>
      </c>
      <c r="D141" s="1405">
        <v>643</v>
      </c>
      <c r="E141" s="1405">
        <v>643</v>
      </c>
      <c r="F141" s="1405">
        <v>643</v>
      </c>
    </row>
    <row r="142" spans="1:6" ht="12.6" customHeight="1" thickBot="1" x14ac:dyDescent="0.3">
      <c r="B142" s="1401" t="s">
        <v>523</v>
      </c>
      <c r="C142" s="1406">
        <v>31004</v>
      </c>
      <c r="D142" s="1406">
        <v>31004</v>
      </c>
      <c r="E142" s="1406">
        <v>31004</v>
      </c>
      <c r="F142" s="1406">
        <v>31004</v>
      </c>
    </row>
    <row r="143" spans="1:6" ht="12.6" customHeight="1" thickBot="1" x14ac:dyDescent="0.3">
      <c r="B143" s="1403" t="s">
        <v>524</v>
      </c>
      <c r="C143" s="1407">
        <f>C146/C147</f>
        <v>2.0770234367104894E-2</v>
      </c>
      <c r="D143" s="1407">
        <f t="shared" ref="D143:F143" si="19">D146/D147</f>
        <v>2.0023435073329564E-2</v>
      </c>
      <c r="E143" s="1407">
        <f t="shared" si="19"/>
        <v>1.9441531765051107E-2</v>
      </c>
      <c r="F143" s="1407">
        <f t="shared" si="19"/>
        <v>1.9556304422689033E-2</v>
      </c>
    </row>
    <row r="144" spans="1:6" ht="12.6" customHeight="1" thickBot="1" x14ac:dyDescent="0.3">
      <c r="B144" s="1401" t="s">
        <v>1012</v>
      </c>
      <c r="C144" s="1408">
        <f>C145/C141</f>
        <v>133.85225505443236</v>
      </c>
      <c r="D144" s="1408">
        <f t="shared" ref="D144:F144" si="20">D145/D141</f>
        <v>152.28477916018664</v>
      </c>
      <c r="E144" s="1408">
        <f t="shared" si="20"/>
        <v>160.29395023328149</v>
      </c>
      <c r="F144" s="1408">
        <f t="shared" si="20"/>
        <v>165.24601198911353</v>
      </c>
    </row>
    <row r="145" spans="2:10" ht="12.6" customHeight="1" thickBot="1" x14ac:dyDescent="0.3">
      <c r="B145" s="1401" t="s">
        <v>1011</v>
      </c>
      <c r="C145" s="1409">
        <v>86067</v>
      </c>
      <c r="D145" s="1410">
        <v>97919.113000000012</v>
      </c>
      <c r="E145" s="1410">
        <v>103069.01</v>
      </c>
      <c r="F145" s="1410">
        <v>106253.185709</v>
      </c>
    </row>
    <row r="146" spans="2:10" ht="12.6" customHeight="1" thickBot="1" x14ac:dyDescent="0.3">
      <c r="B146" s="1401" t="s">
        <v>525</v>
      </c>
      <c r="C146" s="1411">
        <v>797042</v>
      </c>
      <c r="D146" s="1411">
        <v>787042</v>
      </c>
      <c r="E146" s="1411">
        <v>795042</v>
      </c>
      <c r="F146" s="1411">
        <v>795042</v>
      </c>
    </row>
    <row r="147" spans="2:10" ht="12.6" customHeight="1" thickBot="1" x14ac:dyDescent="0.3">
      <c r="B147" s="1401" t="s">
        <v>529</v>
      </c>
      <c r="C147" s="1412">
        <v>38374242</v>
      </c>
      <c r="D147" s="1412">
        <v>39306043</v>
      </c>
      <c r="E147" s="1412">
        <v>40894000</v>
      </c>
      <c r="F147" s="1412">
        <v>40654000</v>
      </c>
    </row>
    <row r="148" spans="2:10" ht="12.6" customHeight="1" thickBot="1" x14ac:dyDescent="0.3">
      <c r="B148" s="2146" t="s">
        <v>535</v>
      </c>
      <c r="C148" s="2147"/>
      <c r="D148" s="2147"/>
      <c r="E148" s="2147"/>
      <c r="F148" s="2148"/>
    </row>
    <row r="149" spans="2:10" ht="12.6" customHeight="1" thickBot="1" x14ac:dyDescent="0.3">
      <c r="B149" s="2146" t="s">
        <v>538</v>
      </c>
      <c r="C149" s="2147"/>
      <c r="D149" s="2147"/>
      <c r="E149" s="2147"/>
      <c r="F149" s="2148"/>
    </row>
    <row r="150" spans="2:10" ht="32.450000000000003" customHeight="1" thickBot="1" x14ac:dyDescent="0.3">
      <c r="B150" s="299" t="s">
        <v>492</v>
      </c>
      <c r="C150" s="2143" t="s">
        <v>533</v>
      </c>
      <c r="D150" s="2144"/>
      <c r="E150" s="2144"/>
      <c r="F150" s="2145"/>
    </row>
    <row r="151" spans="2:10" ht="45" customHeight="1" thickBot="1" x14ac:dyDescent="0.3">
      <c r="B151" s="1141" t="s">
        <v>10</v>
      </c>
      <c r="C151" s="2143" t="s">
        <v>1016</v>
      </c>
      <c r="D151" s="2144"/>
      <c r="E151" s="2144"/>
      <c r="F151" s="2145"/>
    </row>
    <row r="152" spans="2:10" ht="12.6" customHeight="1" thickBot="1" x14ac:dyDescent="0.3">
      <c r="B152" s="1141" t="s">
        <v>13</v>
      </c>
      <c r="C152" s="2160" t="s">
        <v>530</v>
      </c>
      <c r="D152" s="2161"/>
      <c r="E152" s="2161"/>
      <c r="F152" s="2162"/>
    </row>
    <row r="153" spans="2:10" ht="12.6" customHeight="1" x14ac:dyDescent="0.25">
      <c r="B153" s="2132"/>
      <c r="C153" s="285">
        <v>2018</v>
      </c>
      <c r="D153" s="285">
        <v>2019</v>
      </c>
      <c r="E153" s="285">
        <v>2020</v>
      </c>
      <c r="F153" s="285">
        <v>2021</v>
      </c>
    </row>
    <row r="154" spans="2:10" ht="12.6" customHeight="1" thickBot="1" x14ac:dyDescent="0.3">
      <c r="B154" s="2133"/>
      <c r="C154" s="286" t="s">
        <v>6</v>
      </c>
      <c r="D154" s="286" t="s">
        <v>7</v>
      </c>
      <c r="E154" s="286" t="s">
        <v>7</v>
      </c>
      <c r="F154" s="286" t="s">
        <v>7</v>
      </c>
    </row>
    <row r="155" spans="2:10" ht="12.6" customHeight="1" thickBot="1" x14ac:dyDescent="0.3">
      <c r="B155" s="1133" t="s">
        <v>9</v>
      </c>
      <c r="C155" s="346">
        <v>643</v>
      </c>
      <c r="D155" s="330">
        <v>643</v>
      </c>
      <c r="E155" s="330">
        <v>643</v>
      </c>
      <c r="F155" s="330">
        <v>643</v>
      </c>
    </row>
    <row r="156" spans="2:10" ht="12.6" customHeight="1" thickBot="1" x14ac:dyDescent="0.3">
      <c r="B156" s="1141" t="s">
        <v>14</v>
      </c>
      <c r="C156" s="347">
        <v>86067</v>
      </c>
      <c r="D156" s="1171">
        <v>103444.68639</v>
      </c>
      <c r="E156" s="302">
        <v>107644.0803</v>
      </c>
      <c r="F156" s="302">
        <v>110968.78128027001</v>
      </c>
      <c r="G156" s="1161">
        <f>D156*1.03</f>
        <v>106548.02698170001</v>
      </c>
      <c r="H156" s="1161">
        <f>E156*1.03</f>
        <v>110873.402709</v>
      </c>
      <c r="I156" s="1161">
        <f>F156*1.03</f>
        <v>114297.84471867811</v>
      </c>
    </row>
    <row r="157" spans="2:10" ht="12.6" customHeight="1" thickBot="1" x14ac:dyDescent="0.3">
      <c r="B157" s="1141" t="s">
        <v>23</v>
      </c>
      <c r="C157" s="287">
        <f>C156/C155</f>
        <v>133.85225505443236</v>
      </c>
      <c r="D157" s="287">
        <f t="shared" ref="D157:F157" si="21">D156/D155</f>
        <v>160.87820589424572</v>
      </c>
      <c r="E157" s="287">
        <f t="shared" si="21"/>
        <v>167.40914510108865</v>
      </c>
      <c r="F157" s="287">
        <f t="shared" si="21"/>
        <v>172.57975315749613</v>
      </c>
      <c r="G157" s="1161">
        <v>86467</v>
      </c>
      <c r="H157" s="1161">
        <v>95467.1</v>
      </c>
      <c r="I157" s="1161">
        <v>100467</v>
      </c>
      <c r="J157" s="274">
        <v>99467</v>
      </c>
    </row>
    <row r="158" spans="2:10" ht="12.6" customHeight="1" thickBot="1" x14ac:dyDescent="0.3">
      <c r="B158" s="1141" t="s">
        <v>15</v>
      </c>
      <c r="C158" s="1133" t="s">
        <v>21</v>
      </c>
      <c r="D158" s="289">
        <f>D155/C155-1</f>
        <v>0</v>
      </c>
      <c r="E158" s="289">
        <f t="shared" ref="E158:F160" si="22">E155/D155-1</f>
        <v>0</v>
      </c>
      <c r="F158" s="289">
        <f t="shared" si="22"/>
        <v>0</v>
      </c>
    </row>
    <row r="159" spans="2:10" ht="12.6" customHeight="1" thickBot="1" x14ac:dyDescent="0.3">
      <c r="B159" s="1141" t="s">
        <v>16</v>
      </c>
      <c r="C159" s="1133" t="s">
        <v>21</v>
      </c>
      <c r="D159" s="289">
        <f>D156/C156-1</f>
        <v>0.20190881975670116</v>
      </c>
      <c r="E159" s="289">
        <f>E156/D156-1</f>
        <v>4.0595549723721369E-2</v>
      </c>
      <c r="F159" s="289">
        <f>F156/E156-1</f>
        <v>3.088605496005159E-2</v>
      </c>
    </row>
    <row r="160" spans="2:10" ht="12.6" customHeight="1" thickBot="1" x14ac:dyDescent="0.3">
      <c r="B160" s="1141" t="s">
        <v>17</v>
      </c>
      <c r="C160" s="1133" t="s">
        <v>21</v>
      </c>
      <c r="D160" s="289">
        <f>D157/C157-1</f>
        <v>0.20190881975670116</v>
      </c>
      <c r="E160" s="289">
        <f t="shared" si="22"/>
        <v>4.0595549723721369E-2</v>
      </c>
      <c r="F160" s="289">
        <f t="shared" si="22"/>
        <v>3.088605496005159E-2</v>
      </c>
    </row>
    <row r="161" spans="2:9" ht="12.6" customHeight="1" thickBot="1" x14ac:dyDescent="0.3">
      <c r="B161" s="2134" t="s">
        <v>139</v>
      </c>
      <c r="C161" s="2135"/>
      <c r="D161" s="2135"/>
      <c r="E161" s="2135"/>
      <c r="F161" s="2136"/>
    </row>
    <row r="162" spans="2:9" ht="12.6" customHeight="1" x14ac:dyDescent="0.25">
      <c r="B162" s="2132"/>
      <c r="C162" s="285">
        <v>2018</v>
      </c>
      <c r="D162" s="285">
        <v>2019</v>
      </c>
      <c r="E162" s="285">
        <v>2020</v>
      </c>
      <c r="F162" s="285">
        <v>2021</v>
      </c>
    </row>
    <row r="163" spans="2:9" ht="12.6" customHeight="1" thickBot="1" x14ac:dyDescent="0.3">
      <c r="B163" s="2133"/>
      <c r="C163" s="286" t="s">
        <v>6</v>
      </c>
      <c r="D163" s="286" t="s">
        <v>7</v>
      </c>
      <c r="E163" s="286" t="s">
        <v>7</v>
      </c>
      <c r="F163" s="286" t="s">
        <v>7</v>
      </c>
    </row>
    <row r="164" spans="2:9" ht="12.6" customHeight="1" thickBot="1" x14ac:dyDescent="0.3">
      <c r="B164" s="291" t="s">
        <v>0</v>
      </c>
      <c r="C164" s="292">
        <v>0</v>
      </c>
      <c r="D164" s="292">
        <v>0</v>
      </c>
      <c r="E164" s="292">
        <v>0</v>
      </c>
      <c r="F164" s="292">
        <v>0</v>
      </c>
    </row>
    <row r="165" spans="2:9" ht="12.6" customHeight="1" thickBot="1" x14ac:dyDescent="0.3">
      <c r="B165" s="291" t="s">
        <v>49</v>
      </c>
      <c r="C165" s="292">
        <v>0</v>
      </c>
      <c r="D165" s="292">
        <v>0</v>
      </c>
      <c r="E165" s="292">
        <v>0</v>
      </c>
      <c r="F165" s="292">
        <v>0</v>
      </c>
    </row>
    <row r="166" spans="2:9" ht="12.6" customHeight="1" thickBot="1" x14ac:dyDescent="0.3">
      <c r="B166" s="291" t="s">
        <v>1</v>
      </c>
      <c r="C166" s="293">
        <v>86067</v>
      </c>
      <c r="D166" s="293">
        <f>102296.68639+1148</f>
        <v>103444.68639</v>
      </c>
      <c r="E166" s="293">
        <v>107644.0803</v>
      </c>
      <c r="F166" s="1166">
        <v>110968.78128027001</v>
      </c>
      <c r="G166" s="1161">
        <f>D166*1.03</f>
        <v>106548.02698170001</v>
      </c>
      <c r="H166" s="1161">
        <f>E166*1.03</f>
        <v>110873.402709</v>
      </c>
      <c r="I166" s="1161">
        <f>F166*1.03</f>
        <v>114297.84471867811</v>
      </c>
    </row>
    <row r="167" spans="2:9" ht="12.6" customHeight="1" thickBot="1" x14ac:dyDescent="0.3">
      <c r="B167" s="9" t="s">
        <v>56</v>
      </c>
      <c r="C167" s="1163" t="s">
        <v>21</v>
      </c>
      <c r="D167" s="1164">
        <v>0.13770798331532408</v>
      </c>
      <c r="E167" s="1164">
        <v>5.259337878193393E-2</v>
      </c>
      <c r="F167" s="1164">
        <v>3.0893628540722418E-2</v>
      </c>
      <c r="G167" s="1161"/>
      <c r="H167" s="1161"/>
      <c r="I167" s="1161"/>
    </row>
    <row r="168" spans="2:9" ht="12.6" customHeight="1" thickBot="1" x14ac:dyDescent="0.3">
      <c r="B168" s="9" t="s">
        <v>109</v>
      </c>
      <c r="C168" s="1163" t="s">
        <v>21</v>
      </c>
      <c r="D168" s="1164">
        <v>0</v>
      </c>
      <c r="E168" s="1164">
        <v>0</v>
      </c>
      <c r="F168" s="1164">
        <v>0</v>
      </c>
      <c r="G168" s="1161"/>
      <c r="H168" s="1161"/>
      <c r="I168" s="1161"/>
    </row>
    <row r="169" spans="2:9" ht="12.6" customHeight="1" thickBot="1" x14ac:dyDescent="0.3">
      <c r="B169" s="291" t="s">
        <v>2</v>
      </c>
      <c r="C169" s="293">
        <v>0</v>
      </c>
      <c r="D169" s="293">
        <v>0</v>
      </c>
      <c r="E169" s="293">
        <v>0</v>
      </c>
      <c r="F169" s="293">
        <v>0</v>
      </c>
    </row>
    <row r="170" spans="2:9" ht="12.6" customHeight="1" thickBot="1" x14ac:dyDescent="0.3">
      <c r="B170" s="291" t="s">
        <v>28</v>
      </c>
      <c r="C170" s="293">
        <v>0</v>
      </c>
      <c r="D170" s="293">
        <v>0</v>
      </c>
      <c r="E170" s="293">
        <v>0</v>
      </c>
      <c r="F170" s="293">
        <v>0</v>
      </c>
    </row>
    <row r="171" spans="2:9" ht="12.6" customHeight="1" thickBot="1" x14ac:dyDescent="0.3">
      <c r="B171" s="291" t="s">
        <v>30</v>
      </c>
      <c r="C171" s="293">
        <v>0</v>
      </c>
      <c r="D171" s="293">
        <v>0</v>
      </c>
      <c r="E171" s="293">
        <v>0</v>
      </c>
      <c r="F171" s="293">
        <v>0</v>
      </c>
    </row>
    <row r="172" spans="2:9" ht="12.6" customHeight="1" thickBot="1" x14ac:dyDescent="0.3">
      <c r="B172" s="291" t="s">
        <v>3</v>
      </c>
      <c r="C172" s="293"/>
      <c r="D172" s="293"/>
      <c r="E172" s="293"/>
      <c r="F172" s="293"/>
    </row>
    <row r="173" spans="2:9" ht="12.6" customHeight="1" thickBot="1" x14ac:dyDescent="0.3">
      <c r="B173" s="300" t="s">
        <v>71</v>
      </c>
      <c r="C173" s="1171">
        <f>C172+C171+C170+C169+C166+C165+C164</f>
        <v>86067</v>
      </c>
      <c r="D173" s="1171">
        <f>D172+D171+D170+D169+D166+D165+D164</f>
        <v>103444.68639</v>
      </c>
      <c r="E173" s="1171">
        <f>E172+E171+E170+E169+E166+E165+E164</f>
        <v>107644.0803</v>
      </c>
      <c r="F173" s="1171">
        <f>F172+F171+F170+F169+F166+F165+F164</f>
        <v>110968.78128027001</v>
      </c>
    </row>
    <row r="174" spans="2:9" ht="12.6" customHeight="1" thickBot="1" x14ac:dyDescent="0.3">
      <c r="B174" s="296" t="s">
        <v>70</v>
      </c>
      <c r="C174" s="297">
        <f>C156-C173</f>
        <v>0</v>
      </c>
      <c r="D174" s="297">
        <f t="shared" ref="D174:F174" si="23">D156-D173</f>
        <v>0</v>
      </c>
      <c r="E174" s="297">
        <f t="shared" si="23"/>
        <v>0</v>
      </c>
      <c r="F174" s="297">
        <f t="shared" si="23"/>
        <v>0</v>
      </c>
    </row>
    <row r="175" spans="2:9" ht="12.6" customHeight="1" thickBot="1" x14ac:dyDescent="0.3">
      <c r="B175" s="2146" t="s">
        <v>535</v>
      </c>
      <c r="C175" s="2147"/>
      <c r="D175" s="2147"/>
      <c r="E175" s="2147"/>
      <c r="F175" s="2148"/>
    </row>
    <row r="176" spans="2:9" ht="12.6" customHeight="1" thickBot="1" x14ac:dyDescent="0.3">
      <c r="B176" s="2146" t="s">
        <v>121</v>
      </c>
      <c r="C176" s="2147"/>
      <c r="D176" s="2147"/>
      <c r="E176" s="2147"/>
      <c r="F176" s="2148"/>
    </row>
    <row r="177" spans="2:9" ht="32.450000000000003" customHeight="1" thickBot="1" x14ac:dyDescent="0.3">
      <c r="B177" s="299" t="s">
        <v>492</v>
      </c>
      <c r="C177" s="2143" t="s">
        <v>531</v>
      </c>
      <c r="D177" s="2144"/>
      <c r="E177" s="2144"/>
      <c r="F177" s="2145"/>
    </row>
    <row r="178" spans="2:9" ht="58.9" customHeight="1" thickBot="1" x14ac:dyDescent="0.3">
      <c r="B178" s="1141" t="s">
        <v>10</v>
      </c>
      <c r="C178" s="2143" t="s">
        <v>1017</v>
      </c>
      <c r="D178" s="2144"/>
      <c r="E178" s="2144"/>
      <c r="F178" s="2145"/>
    </row>
    <row r="179" spans="2:9" ht="12.6" customHeight="1" thickBot="1" x14ac:dyDescent="0.3">
      <c r="B179" s="1141" t="s">
        <v>13</v>
      </c>
      <c r="C179" s="2160" t="s">
        <v>530</v>
      </c>
      <c r="D179" s="2161"/>
      <c r="E179" s="2161"/>
      <c r="F179" s="2162"/>
    </row>
    <row r="180" spans="2:9" ht="12.6" customHeight="1" x14ac:dyDescent="0.25">
      <c r="B180" s="2132"/>
      <c r="C180" s="285">
        <v>2018</v>
      </c>
      <c r="D180" s="285">
        <v>2019</v>
      </c>
      <c r="E180" s="285">
        <v>2020</v>
      </c>
      <c r="F180" s="285">
        <v>2021</v>
      </c>
    </row>
    <row r="181" spans="2:9" ht="12.6" customHeight="1" thickBot="1" x14ac:dyDescent="0.3">
      <c r="B181" s="2133"/>
      <c r="C181" s="286" t="s">
        <v>6</v>
      </c>
      <c r="D181" s="286" t="s">
        <v>7</v>
      </c>
      <c r="E181" s="286" t="s">
        <v>7</v>
      </c>
      <c r="F181" s="286" t="s">
        <v>7</v>
      </c>
    </row>
    <row r="182" spans="2:9" ht="12.6" customHeight="1" thickBot="1" x14ac:dyDescent="0.3">
      <c r="B182" s="1133" t="s">
        <v>9</v>
      </c>
      <c r="C182" s="330">
        <v>643</v>
      </c>
      <c r="D182" s="330">
        <v>643</v>
      </c>
      <c r="E182" s="330">
        <v>643</v>
      </c>
      <c r="F182" s="330">
        <v>643</v>
      </c>
    </row>
    <row r="183" spans="2:9" ht="12.6" customHeight="1" thickBot="1" x14ac:dyDescent="0.3">
      <c r="B183" s="1141" t="s">
        <v>14</v>
      </c>
      <c r="C183" s="302">
        <v>567125.19999999995</v>
      </c>
      <c r="D183" s="302">
        <v>621524.49199999997</v>
      </c>
      <c r="E183" s="302">
        <v>682463.24119999993</v>
      </c>
      <c r="F183" s="302">
        <v>754455.27737999998</v>
      </c>
      <c r="G183" s="344">
        <f>G191+G194+G201</f>
        <v>683532.9412</v>
      </c>
      <c r="H183" s="344">
        <f t="shared" ref="H183:I183" si="24">H191+H194+H201</f>
        <v>751785.23532000009</v>
      </c>
      <c r="I183" s="344">
        <f t="shared" si="24"/>
        <v>864375.57061800011</v>
      </c>
    </row>
    <row r="184" spans="2:9" ht="12.6" customHeight="1" thickBot="1" x14ac:dyDescent="0.3">
      <c r="B184" s="1141" t="s">
        <v>23</v>
      </c>
      <c r="C184" s="287">
        <f>C183/C182</f>
        <v>881.9987558320372</v>
      </c>
      <c r="D184" s="287">
        <f>D183/D182</f>
        <v>966.60107620528765</v>
      </c>
      <c r="E184" s="287">
        <f>E183/E182</f>
        <v>1061.3736255054432</v>
      </c>
      <c r="F184" s="287">
        <f>F183/F182</f>
        <v>1173.3363567340591</v>
      </c>
    </row>
    <row r="185" spans="2:9" ht="12.6" customHeight="1" thickBot="1" x14ac:dyDescent="0.3">
      <c r="B185" s="1141" t="s">
        <v>15</v>
      </c>
      <c r="C185" s="1133" t="s">
        <v>21</v>
      </c>
      <c r="D185" s="289">
        <f>D182/C182-1</f>
        <v>0</v>
      </c>
      <c r="E185" s="289">
        <f t="shared" ref="E185:F187" si="25">E182/D182-1</f>
        <v>0</v>
      </c>
      <c r="F185" s="289">
        <f t="shared" si="25"/>
        <v>0</v>
      </c>
    </row>
    <row r="186" spans="2:9" ht="12.6" customHeight="1" thickBot="1" x14ac:dyDescent="0.3">
      <c r="B186" s="1141" t="s">
        <v>16</v>
      </c>
      <c r="C186" s="1133" t="s">
        <v>21</v>
      </c>
      <c r="D186" s="289">
        <f>D183/C183-1</f>
        <v>9.5921133464003994E-2</v>
      </c>
      <c r="E186" s="289">
        <f t="shared" si="25"/>
        <v>9.804722096132612E-2</v>
      </c>
      <c r="F186" s="289">
        <f t="shared" si="25"/>
        <v>0.10548851840490903</v>
      </c>
    </row>
    <row r="187" spans="2:9" ht="12.6" customHeight="1" thickBot="1" x14ac:dyDescent="0.3">
      <c r="B187" s="1141" t="s">
        <v>17</v>
      </c>
      <c r="C187" s="1133" t="s">
        <v>21</v>
      </c>
      <c r="D187" s="289">
        <f>D184/C184-1</f>
        <v>9.5921133464004216E-2</v>
      </c>
      <c r="E187" s="289">
        <f t="shared" si="25"/>
        <v>9.804722096132612E-2</v>
      </c>
      <c r="F187" s="289">
        <f t="shared" si="25"/>
        <v>0.10548851840490903</v>
      </c>
    </row>
    <row r="188" spans="2:9" ht="12.6" customHeight="1" thickBot="1" x14ac:dyDescent="0.3">
      <c r="B188" s="2134" t="s">
        <v>139</v>
      </c>
      <c r="C188" s="2135"/>
      <c r="D188" s="2135"/>
      <c r="E188" s="2135"/>
      <c r="F188" s="2136"/>
    </row>
    <row r="189" spans="2:9" ht="12.6" customHeight="1" x14ac:dyDescent="0.25">
      <c r="B189" s="2132"/>
      <c r="C189" s="285">
        <v>2018</v>
      </c>
      <c r="D189" s="285">
        <v>2019</v>
      </c>
      <c r="E189" s="285">
        <v>2020</v>
      </c>
      <c r="F189" s="285">
        <v>2021</v>
      </c>
    </row>
    <row r="190" spans="2:9" ht="12.6" customHeight="1" thickBot="1" x14ac:dyDescent="0.3">
      <c r="B190" s="2133"/>
      <c r="C190" s="286" t="s">
        <v>6</v>
      </c>
      <c r="D190" s="286" t="s">
        <v>7</v>
      </c>
      <c r="E190" s="286" t="s">
        <v>7</v>
      </c>
      <c r="F190" s="286" t="s">
        <v>7</v>
      </c>
    </row>
    <row r="191" spans="2:9" ht="12.6" customHeight="1" thickBot="1" x14ac:dyDescent="0.3">
      <c r="B191" s="291" t="s">
        <v>0</v>
      </c>
      <c r="C191" s="292">
        <v>476366</v>
      </c>
      <c r="D191" s="292">
        <f>526402.86+3048</f>
        <v>529450.86</v>
      </c>
      <c r="E191" s="292">
        <v>582043.14599999995</v>
      </c>
      <c r="F191" s="292">
        <v>644149.61789999995</v>
      </c>
      <c r="G191" s="1162">
        <f>D191*1.1</f>
        <v>582395.946</v>
      </c>
      <c r="H191" s="1162">
        <f>G191*1.1</f>
        <v>640635.54060000007</v>
      </c>
      <c r="I191" s="1162">
        <f>H191*1.15</f>
        <v>736730.87169000006</v>
      </c>
    </row>
    <row r="192" spans="2:9" ht="12.6" customHeight="1" thickBot="1" x14ac:dyDescent="0.3">
      <c r="B192" s="9" t="s">
        <v>51</v>
      </c>
      <c r="C192" s="292"/>
      <c r="D192" s="1172">
        <f>D184/C184-1</f>
        <v>9.5921133464004216E-2</v>
      </c>
      <c r="E192" s="1172">
        <f>E184/D184-1</f>
        <v>9.804722096132612E-2</v>
      </c>
      <c r="F192" s="1172">
        <f>F184/E184-1</f>
        <v>0.10548851840490903</v>
      </c>
      <c r="G192" s="1162"/>
      <c r="H192" s="1162"/>
      <c r="I192" s="1162"/>
    </row>
    <row r="193" spans="1:9" ht="12.6" customHeight="1" thickBot="1" x14ac:dyDescent="0.3">
      <c r="B193" s="9" t="s">
        <v>52</v>
      </c>
      <c r="C193" s="292"/>
      <c r="D193" s="1172">
        <v>0</v>
      </c>
      <c r="E193" s="1172">
        <v>0</v>
      </c>
      <c r="F193" s="1172">
        <v>0</v>
      </c>
      <c r="G193" s="1162"/>
      <c r="H193" s="1162"/>
      <c r="I193" s="1162"/>
    </row>
    <row r="194" spans="1:9" ht="12.6" customHeight="1" thickBot="1" x14ac:dyDescent="0.3">
      <c r="B194" s="291" t="s">
        <v>49</v>
      </c>
      <c r="C194" s="292">
        <v>89359.2</v>
      </c>
      <c r="D194" s="292">
        <f>90124.632+509</f>
        <v>90633.631999999998</v>
      </c>
      <c r="E194" s="292">
        <v>98937.095199999996</v>
      </c>
      <c r="F194" s="292">
        <v>108777.65948</v>
      </c>
      <c r="G194" s="1162">
        <f>D194*1.1</f>
        <v>99696.995200000005</v>
      </c>
      <c r="H194" s="1162">
        <f>G194*1.1</f>
        <v>109666.69472000001</v>
      </c>
      <c r="I194" s="1162">
        <f>H194*1.15</f>
        <v>126116.69892800001</v>
      </c>
    </row>
    <row r="195" spans="1:9" ht="12.6" customHeight="1" thickBot="1" x14ac:dyDescent="0.3">
      <c r="B195" s="9" t="s">
        <v>53</v>
      </c>
      <c r="C195" s="292"/>
      <c r="D195" s="1172">
        <f>D186</f>
        <v>9.5921133464003994E-2</v>
      </c>
      <c r="E195" s="1172">
        <f t="shared" ref="E195:F195" si="26">E186</f>
        <v>9.804722096132612E-2</v>
      </c>
      <c r="F195" s="1172">
        <f t="shared" si="26"/>
        <v>0.10548851840490903</v>
      </c>
      <c r="G195" s="1162"/>
      <c r="H195" s="1162"/>
      <c r="I195" s="1162"/>
    </row>
    <row r="196" spans="1:9" ht="12.6" customHeight="1" thickBot="1" x14ac:dyDescent="0.3">
      <c r="B196" s="9" t="s">
        <v>54</v>
      </c>
      <c r="C196" s="292"/>
      <c r="D196" s="1172">
        <f>D182-C182</f>
        <v>0</v>
      </c>
      <c r="E196" s="1172">
        <f t="shared" ref="E196:F196" si="27">E182-D182</f>
        <v>0</v>
      </c>
      <c r="F196" s="1172">
        <f t="shared" si="27"/>
        <v>0</v>
      </c>
      <c r="G196" s="1162"/>
      <c r="H196" s="1162"/>
      <c r="I196" s="1162"/>
    </row>
    <row r="197" spans="1:9" ht="12.6" customHeight="1" thickBot="1" x14ac:dyDescent="0.3">
      <c r="B197" s="291" t="s">
        <v>1</v>
      </c>
      <c r="C197" s="293"/>
      <c r="D197" s="293"/>
      <c r="E197" s="293"/>
      <c r="F197" s="293"/>
    </row>
    <row r="198" spans="1:9" ht="12.6" customHeight="1" thickBot="1" x14ac:dyDescent="0.3">
      <c r="B198" s="291" t="s">
        <v>2</v>
      </c>
      <c r="C198" s="293">
        <v>0</v>
      </c>
      <c r="D198" s="293">
        <v>0</v>
      </c>
      <c r="E198" s="293">
        <v>0</v>
      </c>
      <c r="F198" s="293">
        <v>0</v>
      </c>
    </row>
    <row r="199" spans="1:9" ht="12.6" customHeight="1" thickBot="1" x14ac:dyDescent="0.3">
      <c r="B199" s="291" t="s">
        <v>28</v>
      </c>
      <c r="C199" s="293">
        <v>0</v>
      </c>
      <c r="D199" s="293">
        <v>0</v>
      </c>
      <c r="E199" s="293">
        <v>0</v>
      </c>
      <c r="F199" s="293">
        <v>0</v>
      </c>
    </row>
    <row r="200" spans="1:9" ht="12.6" customHeight="1" thickBot="1" x14ac:dyDescent="0.3">
      <c r="B200" s="291" t="s">
        <v>30</v>
      </c>
      <c r="C200" s="293">
        <v>0</v>
      </c>
      <c r="D200" s="293">
        <v>0</v>
      </c>
      <c r="E200" s="293">
        <v>0</v>
      </c>
      <c r="F200" s="293">
        <v>0</v>
      </c>
    </row>
    <row r="201" spans="1:9" ht="12.6" customHeight="1" thickBot="1" x14ac:dyDescent="0.3">
      <c r="B201" s="291" t="s">
        <v>3</v>
      </c>
      <c r="C201" s="293">
        <v>1400</v>
      </c>
      <c r="D201" s="293">
        <v>1440</v>
      </c>
      <c r="E201" s="293">
        <v>1483</v>
      </c>
      <c r="F201" s="293">
        <v>1528</v>
      </c>
      <c r="G201" s="293">
        <v>1440</v>
      </c>
      <c r="H201" s="293">
        <v>1483</v>
      </c>
      <c r="I201" s="293">
        <v>1528</v>
      </c>
    </row>
    <row r="202" spans="1:9" ht="12.6" customHeight="1" thickBot="1" x14ac:dyDescent="0.3">
      <c r="B202" s="9" t="s">
        <v>62</v>
      </c>
      <c r="C202" s="293"/>
      <c r="D202" s="1168">
        <v>0.20955212711408366</v>
      </c>
      <c r="E202" s="1168">
        <v>9.9852762702055342E-2</v>
      </c>
      <c r="F202" s="1168">
        <v>0.14976479967437806</v>
      </c>
      <c r="G202" s="1167"/>
      <c r="H202" s="1167"/>
      <c r="I202" s="1167"/>
    </row>
    <row r="203" spans="1:9" ht="12.6" customHeight="1" thickBot="1" x14ac:dyDescent="0.3">
      <c r="B203" s="9" t="s">
        <v>63</v>
      </c>
      <c r="C203" s="293"/>
      <c r="D203" s="1168">
        <v>0</v>
      </c>
      <c r="E203" s="1168">
        <v>0</v>
      </c>
      <c r="F203" s="1168">
        <v>0</v>
      </c>
      <c r="G203" s="1167"/>
      <c r="H203" s="1167"/>
      <c r="I203" s="1167"/>
    </row>
    <row r="204" spans="1:9" ht="12.6" customHeight="1" thickBot="1" x14ac:dyDescent="0.3">
      <c r="B204" s="300" t="s">
        <v>71</v>
      </c>
      <c r="C204" s="293">
        <f>C201+C200+C199+C198+C197+C194+C191</f>
        <v>567125.19999999995</v>
      </c>
      <c r="D204" s="293">
        <f t="shared" ref="D204:F204" si="28">D201+D200+D199+D198+D197+D194+D191</f>
        <v>621524.49199999997</v>
      </c>
      <c r="E204" s="293">
        <f t="shared" si="28"/>
        <v>682463.24119999993</v>
      </c>
      <c r="F204" s="293">
        <f t="shared" si="28"/>
        <v>754455.27737999998</v>
      </c>
    </row>
    <row r="205" spans="1:9" ht="12.6" customHeight="1" thickBot="1" x14ac:dyDescent="0.3">
      <c r="B205" s="296" t="s">
        <v>70</v>
      </c>
      <c r="C205" s="297">
        <f>C183-C204</f>
        <v>0</v>
      </c>
      <c r="D205" s="297">
        <f>D183-D204</f>
        <v>0</v>
      </c>
      <c r="E205" s="297">
        <f t="shared" ref="E205:F205" si="29">E183-E204</f>
        <v>0</v>
      </c>
      <c r="F205" s="297">
        <f t="shared" si="29"/>
        <v>0</v>
      </c>
    </row>
    <row r="206" spans="1:9" ht="12.6" customHeight="1" thickBot="1" x14ac:dyDescent="0.3">
      <c r="B206" s="296"/>
      <c r="C206" s="338"/>
      <c r="D206" s="338"/>
      <c r="E206" s="338"/>
      <c r="F206" s="297"/>
    </row>
    <row r="207" spans="1:9" ht="12.6" customHeight="1" thickBot="1" x14ac:dyDescent="0.3">
      <c r="B207" s="296"/>
      <c r="C207" s="338"/>
      <c r="D207" s="338"/>
      <c r="E207" s="338"/>
      <c r="F207" s="297"/>
    </row>
    <row r="208" spans="1:9" ht="24.6" customHeight="1" thickBot="1" x14ac:dyDescent="0.3">
      <c r="A208" s="337" t="s">
        <v>534</v>
      </c>
      <c r="B208" s="339"/>
      <c r="C208" s="2163" t="s">
        <v>46</v>
      </c>
      <c r="D208" s="2164"/>
      <c r="E208" s="2164"/>
      <c r="F208" s="2165"/>
    </row>
    <row r="209" spans="1:10" ht="13.15" customHeight="1" thickBot="1" x14ac:dyDescent="0.3">
      <c r="A209" s="337"/>
      <c r="B209" s="339" t="s">
        <v>47</v>
      </c>
      <c r="C209" s="1134"/>
      <c r="D209" s="1135"/>
      <c r="E209" s="1135"/>
      <c r="F209" s="1136"/>
    </row>
    <row r="210" spans="1:10" ht="28.15" customHeight="1" thickBot="1" x14ac:dyDescent="0.3">
      <c r="B210" s="305" t="s">
        <v>540</v>
      </c>
      <c r="C210" s="2143" t="s">
        <v>542</v>
      </c>
      <c r="D210" s="2144"/>
      <c r="E210" s="2144"/>
      <c r="F210" s="2145"/>
    </row>
    <row r="211" spans="1:10" ht="28.9" customHeight="1" thickBot="1" x14ac:dyDescent="0.3">
      <c r="B211" s="1141" t="s">
        <v>10</v>
      </c>
      <c r="C211" s="2143" t="s">
        <v>541</v>
      </c>
      <c r="D211" s="2144"/>
      <c r="E211" s="2144"/>
      <c r="F211" s="2145"/>
    </row>
    <row r="212" spans="1:10" ht="12.6" customHeight="1" thickBot="1" x14ac:dyDescent="0.3">
      <c r="B212" s="1141" t="s">
        <v>13</v>
      </c>
      <c r="C212" s="2154" t="s">
        <v>548</v>
      </c>
      <c r="D212" s="2155"/>
      <c r="E212" s="2155"/>
      <c r="F212" s="2156"/>
    </row>
    <row r="213" spans="1:10" ht="12.6" customHeight="1" x14ac:dyDescent="0.25">
      <c r="B213" s="2132"/>
      <c r="C213" s="285">
        <v>2018</v>
      </c>
      <c r="D213" s="285">
        <v>2019</v>
      </c>
      <c r="E213" s="285">
        <v>2020</v>
      </c>
      <c r="F213" s="285">
        <v>2021</v>
      </c>
    </row>
    <row r="214" spans="1:10" ht="12.6" customHeight="1" thickBot="1" x14ac:dyDescent="0.3">
      <c r="B214" s="2133"/>
      <c r="C214" s="286" t="s">
        <v>6</v>
      </c>
      <c r="D214" s="286" t="s">
        <v>7</v>
      </c>
      <c r="E214" s="286" t="s">
        <v>7</v>
      </c>
      <c r="F214" s="286" t="s">
        <v>7</v>
      </c>
    </row>
    <row r="215" spans="1:10" ht="12.6" customHeight="1" thickBot="1" x14ac:dyDescent="0.3">
      <c r="B215" s="1141" t="s">
        <v>9</v>
      </c>
      <c r="C215" s="292">
        <v>40</v>
      </c>
      <c r="D215" s="292">
        <v>48</v>
      </c>
      <c r="E215" s="292">
        <v>50</v>
      </c>
      <c r="F215" s="292">
        <v>50</v>
      </c>
    </row>
    <row r="216" spans="1:10" ht="12.6" customHeight="1" thickBot="1" x14ac:dyDescent="0.3">
      <c r="B216" s="1141" t="s">
        <v>14</v>
      </c>
      <c r="C216" s="292">
        <v>63243</v>
      </c>
      <c r="D216" s="292">
        <v>81000</v>
      </c>
      <c r="E216" s="292">
        <v>87000</v>
      </c>
      <c r="F216" s="292">
        <v>87000</v>
      </c>
      <c r="G216" s="274">
        <f>D216*2</f>
        <v>162000</v>
      </c>
      <c r="H216" s="274">
        <f t="shared" ref="H216:I216" si="30">E216*2</f>
        <v>174000</v>
      </c>
      <c r="I216" s="274">
        <f t="shared" si="30"/>
        <v>174000</v>
      </c>
    </row>
    <row r="217" spans="1:10" ht="12.6" customHeight="1" thickBot="1" x14ac:dyDescent="0.3">
      <c r="B217" s="1141" t="s">
        <v>23</v>
      </c>
      <c r="C217" s="288">
        <f>C216/C215</f>
        <v>1581.075</v>
      </c>
      <c r="D217" s="288">
        <f t="shared" ref="D217:F217" si="31">D216/D215</f>
        <v>1687.5</v>
      </c>
      <c r="E217" s="288">
        <f t="shared" si="31"/>
        <v>1740</v>
      </c>
      <c r="F217" s="288">
        <f t="shared" si="31"/>
        <v>1740</v>
      </c>
    </row>
    <row r="218" spans="1:10" ht="12.6" customHeight="1" thickBot="1" x14ac:dyDescent="0.3">
      <c r="B218" s="1141" t="s">
        <v>15</v>
      </c>
      <c r="C218" s="1133" t="s">
        <v>21</v>
      </c>
      <c r="D218" s="289">
        <f>D215/C215-1</f>
        <v>0.19999999999999996</v>
      </c>
      <c r="E218" s="289">
        <f t="shared" ref="E218:F220" si="32">E215/D215-1</f>
        <v>4.1666666666666741E-2</v>
      </c>
      <c r="F218" s="289">
        <f t="shared" si="32"/>
        <v>0</v>
      </c>
      <c r="G218" s="290"/>
      <c r="H218" s="290"/>
      <c r="I218" s="290"/>
      <c r="J218" s="290"/>
    </row>
    <row r="219" spans="1:10" ht="12.6" customHeight="1" thickBot="1" x14ac:dyDescent="0.3">
      <c r="B219" s="1141" t="s">
        <v>16</v>
      </c>
      <c r="C219" s="1133" t="s">
        <v>21</v>
      </c>
      <c r="D219" s="289">
        <f>D216/C216-1</f>
        <v>0.28077415682368012</v>
      </c>
      <c r="E219" s="289">
        <f t="shared" si="32"/>
        <v>7.4074074074074181E-2</v>
      </c>
      <c r="F219" s="289">
        <f t="shared" si="32"/>
        <v>0</v>
      </c>
    </row>
    <row r="220" spans="1:10" ht="12.6" customHeight="1" thickBot="1" x14ac:dyDescent="0.3">
      <c r="B220" s="1141" t="s">
        <v>17</v>
      </c>
      <c r="C220" s="1133" t="s">
        <v>21</v>
      </c>
      <c r="D220" s="289">
        <f>D217/C217-1</f>
        <v>6.7311797353066805E-2</v>
      </c>
      <c r="E220" s="289">
        <f t="shared" si="32"/>
        <v>3.1111111111111089E-2</v>
      </c>
      <c r="F220" s="289">
        <f t="shared" si="32"/>
        <v>0</v>
      </c>
    </row>
    <row r="221" spans="1:10" ht="12.6" customHeight="1" thickBot="1" x14ac:dyDescent="0.3">
      <c r="B221" s="2134" t="s">
        <v>140</v>
      </c>
      <c r="C221" s="2135"/>
      <c r="D221" s="2135"/>
      <c r="E221" s="2135"/>
      <c r="F221" s="2136"/>
    </row>
    <row r="222" spans="1:10" ht="12.6" customHeight="1" x14ac:dyDescent="0.25">
      <c r="B222" s="2132"/>
      <c r="C222" s="285">
        <v>2018</v>
      </c>
      <c r="D222" s="285">
        <v>2019</v>
      </c>
      <c r="E222" s="285">
        <v>2020</v>
      </c>
      <c r="F222" s="285">
        <v>2021</v>
      </c>
    </row>
    <row r="223" spans="1:10" ht="12.6" customHeight="1" thickBot="1" x14ac:dyDescent="0.3">
      <c r="B223" s="2133"/>
      <c r="C223" s="286" t="s">
        <v>6</v>
      </c>
      <c r="D223" s="286" t="s">
        <v>7</v>
      </c>
      <c r="E223" s="286" t="s">
        <v>7</v>
      </c>
      <c r="F223" s="286" t="s">
        <v>7</v>
      </c>
    </row>
    <row r="224" spans="1:10" ht="12.6" customHeight="1" thickBot="1" x14ac:dyDescent="0.3">
      <c r="B224" s="291" t="s">
        <v>104</v>
      </c>
      <c r="C224" s="292"/>
      <c r="D224" s="292"/>
      <c r="E224" s="292"/>
      <c r="F224" s="292"/>
    </row>
    <row r="225" spans="2:10" ht="12.6" customHeight="1" thickBot="1" x14ac:dyDescent="0.3">
      <c r="B225" s="284" t="s">
        <v>105</v>
      </c>
      <c r="C225" s="294">
        <f>C216</f>
        <v>63243</v>
      </c>
      <c r="D225" s="294">
        <f>D216</f>
        <v>81000</v>
      </c>
      <c r="E225" s="294">
        <f t="shared" ref="E225:F225" si="33">E216</f>
        <v>87000</v>
      </c>
      <c r="F225" s="294">
        <f t="shared" si="33"/>
        <v>87000</v>
      </c>
    </row>
    <row r="226" spans="2:10" ht="12.6" customHeight="1" thickBot="1" x14ac:dyDescent="0.3">
      <c r="B226" s="340" t="s">
        <v>71</v>
      </c>
      <c r="C226" s="294">
        <f>C225+C224</f>
        <v>63243</v>
      </c>
      <c r="D226" s="294">
        <f t="shared" ref="D226:F226" si="34">D225+D224</f>
        <v>81000</v>
      </c>
      <c r="E226" s="294">
        <f t="shared" si="34"/>
        <v>87000</v>
      </c>
      <c r="F226" s="294">
        <f t="shared" si="34"/>
        <v>87000</v>
      </c>
    </row>
    <row r="227" spans="2:10" ht="12.6" customHeight="1" thickBot="1" x14ac:dyDescent="0.3">
      <c r="B227" s="2146" t="s">
        <v>100</v>
      </c>
      <c r="C227" s="2147"/>
      <c r="D227" s="2147"/>
      <c r="E227" s="2147"/>
      <c r="F227" s="2148"/>
    </row>
    <row r="228" spans="2:10" ht="12.6" customHeight="1" thickBot="1" x14ac:dyDescent="0.3">
      <c r="B228" s="2146" t="s">
        <v>106</v>
      </c>
      <c r="C228" s="2147"/>
      <c r="D228" s="2147"/>
      <c r="E228" s="2147"/>
      <c r="F228" s="2148"/>
    </row>
    <row r="229" spans="2:10" ht="13.15" customHeight="1" thickBot="1" x14ac:dyDescent="0.3">
      <c r="B229" s="304" t="s">
        <v>47</v>
      </c>
      <c r="C229" s="2149" t="s">
        <v>184</v>
      </c>
      <c r="D229" s="2150"/>
      <c r="E229" s="2150"/>
      <c r="F229" s="2150"/>
    </row>
    <row r="230" spans="2:10" ht="17.45" customHeight="1" thickBot="1" x14ac:dyDescent="0.3">
      <c r="B230" s="305" t="s">
        <v>45</v>
      </c>
      <c r="C230" s="2151" t="s">
        <v>544</v>
      </c>
      <c r="D230" s="2152"/>
      <c r="E230" s="2152"/>
      <c r="F230" s="2153"/>
    </row>
    <row r="231" spans="2:10" ht="26.45" customHeight="1" thickBot="1" x14ac:dyDescent="0.3">
      <c r="B231" s="1141" t="s">
        <v>10</v>
      </c>
      <c r="C231" s="2143" t="s">
        <v>545</v>
      </c>
      <c r="D231" s="2144"/>
      <c r="E231" s="2144"/>
      <c r="F231" s="2145"/>
    </row>
    <row r="232" spans="2:10" ht="12.6" customHeight="1" thickBot="1" x14ac:dyDescent="0.3">
      <c r="B232" s="1141" t="s">
        <v>13</v>
      </c>
      <c r="C232" s="2154" t="s">
        <v>547</v>
      </c>
      <c r="D232" s="2155"/>
      <c r="E232" s="2155"/>
      <c r="F232" s="2156"/>
    </row>
    <row r="233" spans="2:10" ht="12.6" customHeight="1" x14ac:dyDescent="0.25">
      <c r="B233" s="2132"/>
      <c r="C233" s="285">
        <v>2018</v>
      </c>
      <c r="D233" s="285">
        <v>2019</v>
      </c>
      <c r="E233" s="285">
        <v>2020</v>
      </c>
      <c r="F233" s="285">
        <v>2021</v>
      </c>
    </row>
    <row r="234" spans="2:10" ht="12.6" customHeight="1" thickBot="1" x14ac:dyDescent="0.3">
      <c r="B234" s="2133"/>
      <c r="C234" s="286" t="s">
        <v>6</v>
      </c>
      <c r="D234" s="286" t="s">
        <v>7</v>
      </c>
      <c r="E234" s="286" t="s">
        <v>7</v>
      </c>
      <c r="F234" s="286" t="s">
        <v>7</v>
      </c>
    </row>
    <row r="235" spans="2:10" ht="12.6" customHeight="1" thickBot="1" x14ac:dyDescent="0.3">
      <c r="B235" s="1141" t="s">
        <v>9</v>
      </c>
      <c r="C235" s="341">
        <v>24</v>
      </c>
      <c r="D235" s="341">
        <v>40</v>
      </c>
      <c r="E235" s="341">
        <v>40</v>
      </c>
      <c r="F235" s="341">
        <v>40</v>
      </c>
    </row>
    <row r="236" spans="2:10" ht="12.6" customHeight="1" thickBot="1" x14ac:dyDescent="0.3">
      <c r="B236" s="1141" t="s">
        <v>14</v>
      </c>
      <c r="C236" s="341">
        <v>7200</v>
      </c>
      <c r="D236" s="341">
        <v>20000</v>
      </c>
      <c r="E236" s="341">
        <v>20000</v>
      </c>
      <c r="F236" s="341">
        <v>20000</v>
      </c>
      <c r="G236" s="1161">
        <f>D236*2</f>
        <v>40000</v>
      </c>
      <c r="H236" s="1161">
        <f t="shared" ref="H236" si="35">E236*2</f>
        <v>40000</v>
      </c>
      <c r="I236" s="1161">
        <f t="shared" ref="I236" si="36">F236*2</f>
        <v>40000</v>
      </c>
    </row>
    <row r="237" spans="2:10" ht="12.6" customHeight="1" thickBot="1" x14ac:dyDescent="0.3">
      <c r="B237" s="1141" t="s">
        <v>23</v>
      </c>
      <c r="C237" s="342">
        <f>C236/C235</f>
        <v>300</v>
      </c>
      <c r="D237" s="342">
        <f t="shared" ref="D237:F237" si="37">D236/D235</f>
        <v>500</v>
      </c>
      <c r="E237" s="342">
        <f t="shared" si="37"/>
        <v>500</v>
      </c>
      <c r="F237" s="342">
        <f t="shared" si="37"/>
        <v>500</v>
      </c>
    </row>
    <row r="238" spans="2:10" ht="12.6" customHeight="1" thickBot="1" x14ac:dyDescent="0.3">
      <c r="B238" s="1141" t="s">
        <v>15</v>
      </c>
      <c r="C238" s="1133" t="s">
        <v>21</v>
      </c>
      <c r="D238" s="289">
        <f>D235/C235-1</f>
        <v>0.66666666666666674</v>
      </c>
      <c r="E238" s="289">
        <f t="shared" ref="E238:F240" si="38">E235/D235-1</f>
        <v>0</v>
      </c>
      <c r="F238" s="289">
        <f t="shared" si="38"/>
        <v>0</v>
      </c>
      <c r="G238" s="290"/>
      <c r="H238" s="290"/>
      <c r="I238" s="290"/>
      <c r="J238" s="290"/>
    </row>
    <row r="239" spans="2:10" ht="12.6" customHeight="1" thickBot="1" x14ac:dyDescent="0.3">
      <c r="B239" s="1141" t="s">
        <v>16</v>
      </c>
      <c r="C239" s="1133" t="s">
        <v>21</v>
      </c>
      <c r="D239" s="289">
        <f>D236/C236-1</f>
        <v>1.7777777777777777</v>
      </c>
      <c r="E239" s="289">
        <f t="shared" si="38"/>
        <v>0</v>
      </c>
      <c r="F239" s="289">
        <f t="shared" si="38"/>
        <v>0</v>
      </c>
    </row>
    <row r="240" spans="2:10" ht="12.6" customHeight="1" thickBot="1" x14ac:dyDescent="0.3">
      <c r="B240" s="1141" t="s">
        <v>17</v>
      </c>
      <c r="C240" s="1133" t="s">
        <v>21</v>
      </c>
      <c r="D240" s="289">
        <f>D237/C237-1</f>
        <v>0.66666666666666674</v>
      </c>
      <c r="E240" s="289">
        <f t="shared" si="38"/>
        <v>0</v>
      </c>
      <c r="F240" s="289">
        <f t="shared" si="38"/>
        <v>0</v>
      </c>
    </row>
    <row r="241" spans="2:10" ht="12.6" customHeight="1" thickBot="1" x14ac:dyDescent="0.3">
      <c r="B241" s="2134" t="s">
        <v>138</v>
      </c>
      <c r="C241" s="2135"/>
      <c r="D241" s="2135"/>
      <c r="E241" s="2135"/>
      <c r="F241" s="2136"/>
    </row>
    <row r="242" spans="2:10" ht="12.6" customHeight="1" x14ac:dyDescent="0.25">
      <c r="B242" s="2132"/>
      <c r="C242" s="285">
        <v>2018</v>
      </c>
      <c r="D242" s="285">
        <v>2019</v>
      </c>
      <c r="E242" s="285">
        <v>2020</v>
      </c>
      <c r="F242" s="285">
        <v>2021</v>
      </c>
    </row>
    <row r="243" spans="2:10" ht="12.6" customHeight="1" thickBot="1" x14ac:dyDescent="0.3">
      <c r="B243" s="2133"/>
      <c r="C243" s="286" t="s">
        <v>6</v>
      </c>
      <c r="D243" s="286" t="s">
        <v>7</v>
      </c>
      <c r="E243" s="286" t="s">
        <v>7</v>
      </c>
      <c r="F243" s="286" t="s">
        <v>7</v>
      </c>
    </row>
    <row r="244" spans="2:10" ht="12.6" customHeight="1" thickBot="1" x14ac:dyDescent="0.3">
      <c r="B244" s="291" t="s">
        <v>104</v>
      </c>
      <c r="C244" s="292">
        <v>0</v>
      </c>
      <c r="D244" s="292">
        <v>0</v>
      </c>
      <c r="E244" s="292">
        <v>0</v>
      </c>
      <c r="F244" s="292">
        <v>0</v>
      </c>
    </row>
    <row r="245" spans="2:10" ht="12.6" customHeight="1" thickBot="1" x14ac:dyDescent="0.3">
      <c r="B245" s="291" t="s">
        <v>105</v>
      </c>
      <c r="C245" s="293">
        <f>C236</f>
        <v>7200</v>
      </c>
      <c r="D245" s="293">
        <f t="shared" ref="D245:F245" si="39">D236</f>
        <v>20000</v>
      </c>
      <c r="E245" s="293">
        <f t="shared" si="39"/>
        <v>20000</v>
      </c>
      <c r="F245" s="293">
        <f t="shared" si="39"/>
        <v>20000</v>
      </c>
    </row>
    <row r="246" spans="2:10" ht="12.6" customHeight="1" thickBot="1" x14ac:dyDescent="0.3">
      <c r="B246" s="295" t="s">
        <v>68</v>
      </c>
      <c r="C246" s="341">
        <f>C245+C244</f>
        <v>7200</v>
      </c>
      <c r="D246" s="341">
        <f t="shared" ref="D246:F246" si="40">D245+D244</f>
        <v>20000</v>
      </c>
      <c r="E246" s="341">
        <f t="shared" si="40"/>
        <v>20000</v>
      </c>
      <c r="F246" s="341">
        <f t="shared" si="40"/>
        <v>20000</v>
      </c>
    </row>
    <row r="247" spans="2:10" ht="12.6" customHeight="1" thickBot="1" x14ac:dyDescent="0.3">
      <c r="B247" s="306" t="s">
        <v>47</v>
      </c>
      <c r="C247" s="2157" t="s">
        <v>46</v>
      </c>
      <c r="D247" s="2158"/>
      <c r="E247" s="2158"/>
      <c r="F247" s="2159"/>
    </row>
    <row r="248" spans="2:10" ht="39.6" customHeight="1" thickBot="1" x14ac:dyDescent="0.3">
      <c r="B248" s="305" t="s">
        <v>103</v>
      </c>
      <c r="C248" s="2143" t="s">
        <v>543</v>
      </c>
      <c r="D248" s="2144"/>
      <c r="E248" s="2144"/>
      <c r="F248" s="2145"/>
    </row>
    <row r="249" spans="2:10" ht="31.15" customHeight="1" thickBot="1" x14ac:dyDescent="0.3">
      <c r="B249" s="1141" t="s">
        <v>10</v>
      </c>
      <c r="C249" s="2143" t="s">
        <v>543</v>
      </c>
      <c r="D249" s="2144"/>
      <c r="E249" s="2144"/>
      <c r="F249" s="2145"/>
    </row>
    <row r="250" spans="2:10" ht="12.6" customHeight="1" thickBot="1" x14ac:dyDescent="0.3">
      <c r="B250" s="1141" t="s">
        <v>13</v>
      </c>
      <c r="C250" s="2129" t="s">
        <v>546</v>
      </c>
      <c r="D250" s="2130"/>
      <c r="E250" s="2130"/>
      <c r="F250" s="2131"/>
    </row>
    <row r="251" spans="2:10" ht="12.6" customHeight="1" x14ac:dyDescent="0.25">
      <c r="B251" s="2132"/>
      <c r="C251" s="285">
        <v>2018</v>
      </c>
      <c r="D251" s="285">
        <v>2019</v>
      </c>
      <c r="E251" s="343">
        <v>2020</v>
      </c>
      <c r="F251" s="285">
        <v>2021</v>
      </c>
    </row>
    <row r="252" spans="2:10" ht="12.6" customHeight="1" thickBot="1" x14ac:dyDescent="0.3">
      <c r="B252" s="2133"/>
      <c r="C252" s="286" t="s">
        <v>6</v>
      </c>
      <c r="D252" s="286" t="s">
        <v>7</v>
      </c>
      <c r="E252" s="286" t="s">
        <v>7</v>
      </c>
      <c r="F252" s="286" t="s">
        <v>7</v>
      </c>
    </row>
    <row r="253" spans="2:10" ht="12.6" customHeight="1" thickBot="1" x14ac:dyDescent="0.3">
      <c r="B253" s="1141" t="s">
        <v>9</v>
      </c>
      <c r="C253" s="341">
        <v>5</v>
      </c>
      <c r="D253" s="341">
        <v>20</v>
      </c>
      <c r="E253" s="341">
        <v>20</v>
      </c>
      <c r="F253" s="341">
        <v>20</v>
      </c>
    </row>
    <row r="254" spans="2:10" ht="12.6" customHeight="1" thickBot="1" x14ac:dyDescent="0.3">
      <c r="B254" s="1141" t="s">
        <v>14</v>
      </c>
      <c r="C254" s="341">
        <v>1557</v>
      </c>
      <c r="D254" s="341">
        <v>7500</v>
      </c>
      <c r="E254" s="341">
        <v>7500</v>
      </c>
      <c r="F254" s="341">
        <v>7500</v>
      </c>
      <c r="G254" s="1161">
        <f>D254*5</f>
        <v>37500</v>
      </c>
      <c r="H254" s="1161">
        <f t="shared" ref="H254:I254" si="41">E254*5</f>
        <v>37500</v>
      </c>
      <c r="I254" s="1161">
        <f t="shared" si="41"/>
        <v>37500</v>
      </c>
    </row>
    <row r="255" spans="2:10" ht="12.6" customHeight="1" thickBot="1" x14ac:dyDescent="0.3">
      <c r="B255" s="1141" t="s">
        <v>23</v>
      </c>
      <c r="C255" s="341">
        <f>C254/C253</f>
        <v>311.39999999999998</v>
      </c>
      <c r="D255" s="341">
        <f>D254/D253</f>
        <v>375</v>
      </c>
      <c r="E255" s="341">
        <f t="shared" ref="E255:F255" si="42">E254/E253</f>
        <v>375</v>
      </c>
      <c r="F255" s="341">
        <f t="shared" si="42"/>
        <v>375</v>
      </c>
    </row>
    <row r="256" spans="2:10" ht="12.6" customHeight="1" thickBot="1" x14ac:dyDescent="0.3">
      <c r="B256" s="1141" t="s">
        <v>15</v>
      </c>
      <c r="C256" s="1133" t="s">
        <v>21</v>
      </c>
      <c r="D256" s="289">
        <f>D253/C253-1</f>
        <v>3</v>
      </c>
      <c r="E256" s="289">
        <f t="shared" ref="E256:F258" si="43">E253/D253-1</f>
        <v>0</v>
      </c>
      <c r="F256" s="289">
        <f t="shared" si="43"/>
        <v>0</v>
      </c>
      <c r="G256" s="290"/>
      <c r="H256" s="290"/>
      <c r="I256" s="290"/>
      <c r="J256" s="290"/>
    </row>
    <row r="257" spans="2:10" ht="12.6" customHeight="1" thickBot="1" x14ac:dyDescent="0.3">
      <c r="B257" s="1141" t="s">
        <v>16</v>
      </c>
      <c r="C257" s="1133" t="s">
        <v>21</v>
      </c>
      <c r="D257" s="289">
        <f>D254/C254-1</f>
        <v>3.8169556840077075</v>
      </c>
      <c r="E257" s="289">
        <f t="shared" si="43"/>
        <v>0</v>
      </c>
      <c r="F257" s="289">
        <f t="shared" si="43"/>
        <v>0</v>
      </c>
    </row>
    <row r="258" spans="2:10" ht="12.6" customHeight="1" thickBot="1" x14ac:dyDescent="0.3">
      <c r="B258" s="1141" t="s">
        <v>17</v>
      </c>
      <c r="C258" s="1133" t="s">
        <v>21</v>
      </c>
      <c r="D258" s="289">
        <f>D255/C255-1</f>
        <v>0.20423892100192687</v>
      </c>
      <c r="E258" s="289">
        <f t="shared" si="43"/>
        <v>0</v>
      </c>
      <c r="F258" s="289">
        <f t="shared" si="43"/>
        <v>0</v>
      </c>
    </row>
    <row r="259" spans="2:10" ht="12.6" customHeight="1" thickBot="1" x14ac:dyDescent="0.3">
      <c r="B259" s="2134" t="s">
        <v>140</v>
      </c>
      <c r="C259" s="2135"/>
      <c r="D259" s="2135"/>
      <c r="E259" s="2135"/>
      <c r="F259" s="2136"/>
    </row>
    <row r="260" spans="2:10" ht="12.6" customHeight="1" x14ac:dyDescent="0.25">
      <c r="B260" s="2132"/>
      <c r="C260" s="285">
        <v>2018</v>
      </c>
      <c r="D260" s="285">
        <v>2019</v>
      </c>
      <c r="E260" s="285">
        <v>2020</v>
      </c>
      <c r="F260" s="285">
        <v>2021</v>
      </c>
    </row>
    <row r="261" spans="2:10" ht="12.6" customHeight="1" thickBot="1" x14ac:dyDescent="0.3">
      <c r="B261" s="2133"/>
      <c r="C261" s="286" t="s">
        <v>6</v>
      </c>
      <c r="D261" s="286" t="s">
        <v>7</v>
      </c>
      <c r="E261" s="286" t="s">
        <v>7</v>
      </c>
      <c r="F261" s="286" t="s">
        <v>7</v>
      </c>
    </row>
    <row r="262" spans="2:10" ht="12.6" customHeight="1" thickBot="1" x14ac:dyDescent="0.3">
      <c r="B262" s="291" t="s">
        <v>104</v>
      </c>
      <c r="C262" s="292">
        <v>0</v>
      </c>
      <c r="D262" s="292">
        <v>0</v>
      </c>
      <c r="E262" s="292">
        <v>0</v>
      </c>
      <c r="F262" s="292">
        <v>0</v>
      </c>
    </row>
    <row r="263" spans="2:10" ht="12.6" customHeight="1" thickBot="1" x14ac:dyDescent="0.3">
      <c r="B263" s="291" t="s">
        <v>105</v>
      </c>
      <c r="C263" s="293">
        <f>C254</f>
        <v>1557</v>
      </c>
      <c r="D263" s="293">
        <f t="shared" ref="D263:F263" si="44">D254</f>
        <v>7500</v>
      </c>
      <c r="E263" s="293">
        <f t="shared" si="44"/>
        <v>7500</v>
      </c>
      <c r="F263" s="293">
        <f t="shared" si="44"/>
        <v>7500</v>
      </c>
    </row>
    <row r="264" spans="2:10" ht="12.6" customHeight="1" thickBot="1" x14ac:dyDescent="0.3">
      <c r="B264" s="295" t="s">
        <v>71</v>
      </c>
      <c r="C264" s="294">
        <f>C263+C262</f>
        <v>1557</v>
      </c>
      <c r="D264" s="294">
        <f t="shared" ref="D264:F264" si="45">D263+D262</f>
        <v>7500</v>
      </c>
      <c r="E264" s="294">
        <f t="shared" si="45"/>
        <v>7500</v>
      </c>
      <c r="F264" s="294">
        <f t="shared" si="45"/>
        <v>7500</v>
      </c>
    </row>
    <row r="265" spans="2:10" ht="12.6" customHeight="1" thickBot="1" x14ac:dyDescent="0.3">
      <c r="B265" s="307"/>
      <c r="C265" s="308"/>
      <c r="D265" s="308"/>
      <c r="E265" s="308"/>
      <c r="F265" s="308"/>
    </row>
    <row r="266" spans="2:10" ht="18.600000000000001" customHeight="1" thickBot="1" x14ac:dyDescent="0.3">
      <c r="B266" s="309" t="s">
        <v>116</v>
      </c>
      <c r="C266" s="310">
        <f>C47+C81+C119+C156+C183+C216+C236+C254</f>
        <v>798042.2</v>
      </c>
      <c r="D266" s="310">
        <f>D47+D81+D119+D156+D183+D216+D236+D254</f>
        <v>911724.70839000004</v>
      </c>
      <c r="E266" s="310">
        <f t="shared" ref="E266:F266" si="46">E47+E81+E119+E156+E183+E216+E236+E254</f>
        <v>988339.87699999998</v>
      </c>
      <c r="F266" s="310">
        <f t="shared" si="46"/>
        <v>1071693.2517852699</v>
      </c>
    </row>
    <row r="267" spans="2:10" ht="22.9" customHeight="1" thickBot="1" x14ac:dyDescent="0.3">
      <c r="B267" s="309" t="s">
        <v>117</v>
      </c>
      <c r="C267" s="310">
        <f>C64+C136+C102+C173+C204+C226+C246+C264</f>
        <v>798042</v>
      </c>
      <c r="D267" s="310">
        <f>D64+D136+D102+D173+D204+D226+D246+D264</f>
        <v>911724.70839000004</v>
      </c>
      <c r="E267" s="310">
        <f t="shared" ref="E267:F267" si="47">E64+E136+E102+E173+E204+E226+E246+E264</f>
        <v>988339.87699999998</v>
      </c>
      <c r="F267" s="310">
        <f t="shared" si="47"/>
        <v>1071693.2517852699</v>
      </c>
      <c r="G267" s="344"/>
      <c r="H267" s="344"/>
      <c r="I267" s="344"/>
      <c r="J267" s="344"/>
    </row>
    <row r="268" spans="2:10" ht="12.6" customHeight="1" thickBot="1" x14ac:dyDescent="0.3">
      <c r="B268" s="311" t="s">
        <v>24</v>
      </c>
      <c r="C268" s="312"/>
      <c r="D268" s="313">
        <f>D267/C267-1</f>
        <v>0.1424520368476847</v>
      </c>
      <c r="E268" s="313">
        <f t="shared" ref="E268:F268" si="48">E267/D267-1</f>
        <v>8.4033226153641838E-2</v>
      </c>
      <c r="F268" s="313">
        <f t="shared" si="48"/>
        <v>8.4336751683318001E-2</v>
      </c>
      <c r="G268" s="345"/>
      <c r="H268" s="345"/>
      <c r="I268" s="345"/>
      <c r="J268" s="345"/>
    </row>
    <row r="269" spans="2:10" ht="12.6" customHeight="1" thickBot="1" x14ac:dyDescent="0.3">
      <c r="B269" s="291" t="s">
        <v>0</v>
      </c>
      <c r="C269" s="348">
        <f>C89+C191</f>
        <v>506850</v>
      </c>
      <c r="D269" s="348">
        <f t="shared" ref="D269:F269" si="49">D89+D191</f>
        <v>562983.26</v>
      </c>
      <c r="E269" s="348">
        <f t="shared" si="49"/>
        <v>618928.78599999996</v>
      </c>
      <c r="F269" s="348">
        <f t="shared" si="49"/>
        <v>686568.10389999999</v>
      </c>
      <c r="G269" s="344"/>
      <c r="H269" s="344"/>
      <c r="I269" s="344"/>
      <c r="J269" s="344"/>
    </row>
    <row r="270" spans="2:10" ht="12.6" customHeight="1" thickBot="1" x14ac:dyDescent="0.3">
      <c r="B270" s="314" t="s">
        <v>25</v>
      </c>
      <c r="C270" s="349"/>
      <c r="D270" s="315">
        <f>D269/C269-1</f>
        <v>0.11074925520370926</v>
      </c>
      <c r="E270" s="315">
        <f t="shared" ref="E270" si="50">E269/D269-1</f>
        <v>9.9373338383098586E-2</v>
      </c>
      <c r="F270" s="315">
        <f t="shared" ref="F270" si="51">F269/E269-1</f>
        <v>0.10928449189952527</v>
      </c>
      <c r="G270" s="345"/>
      <c r="H270" s="345"/>
      <c r="I270" s="345"/>
      <c r="J270" s="345"/>
    </row>
    <row r="271" spans="2:10" ht="12.6" customHeight="1" thickBot="1" x14ac:dyDescent="0.3">
      <c r="B271" s="291" t="s">
        <v>49</v>
      </c>
      <c r="C271" s="348">
        <f>C92+C194</f>
        <v>94450</v>
      </c>
      <c r="D271" s="348">
        <f t="shared" ref="D271:F271" si="52">D92+D194</f>
        <v>96233.512000000002</v>
      </c>
      <c r="E271" s="348">
        <f t="shared" si="52"/>
        <v>105096.9632</v>
      </c>
      <c r="F271" s="348">
        <f t="shared" si="52"/>
        <v>115861.50768000001</v>
      </c>
      <c r="G271" s="344"/>
      <c r="H271" s="344"/>
      <c r="I271" s="344"/>
      <c r="J271" s="344"/>
    </row>
    <row r="272" spans="2:10" ht="12.6" customHeight="1" thickBot="1" x14ac:dyDescent="0.3">
      <c r="B272" s="314" t="s">
        <v>50</v>
      </c>
      <c r="C272" s="293"/>
      <c r="D272" s="315">
        <f>D271/C271-1</f>
        <v>1.8883133933297991E-2</v>
      </c>
      <c r="E272" s="315">
        <f t="shared" ref="E272:F272" si="53">E271/D271-1</f>
        <v>9.2103582377831117E-2</v>
      </c>
      <c r="F272" s="315">
        <f t="shared" si="53"/>
        <v>0.1024248860503707</v>
      </c>
      <c r="G272" s="345"/>
      <c r="H272" s="345"/>
      <c r="I272" s="345"/>
      <c r="J272" s="345"/>
    </row>
    <row r="273" spans="2:10" ht="12.6" customHeight="1" thickBot="1" x14ac:dyDescent="0.3">
      <c r="B273" s="291" t="s">
        <v>1</v>
      </c>
      <c r="C273" s="292">
        <f>C57+C95+C129+C166+C197</f>
        <v>123342</v>
      </c>
      <c r="D273" s="292">
        <f>D57+D95+D129+D166+D197</f>
        <v>142567.93638999999</v>
      </c>
      <c r="E273" s="292">
        <f>E57+E95+E129+E166+E197</f>
        <v>148331.12780000002</v>
      </c>
      <c r="F273" s="292">
        <f>F57+F95+F129+F166+F197</f>
        <v>153235.64020527</v>
      </c>
      <c r="G273" s="344"/>
      <c r="H273" s="344"/>
      <c r="I273" s="344"/>
      <c r="J273" s="344"/>
    </row>
    <row r="274" spans="2:10" ht="12.6" customHeight="1" thickBot="1" x14ac:dyDescent="0.3">
      <c r="B274" s="314" t="s">
        <v>26</v>
      </c>
      <c r="C274" s="293"/>
      <c r="D274" s="315">
        <f>D273/C273-1</f>
        <v>0.15587501735013198</v>
      </c>
      <c r="E274" s="315">
        <f t="shared" ref="E274:F274" si="54">E273/D273-1</f>
        <v>4.0424176402712231E-2</v>
      </c>
      <c r="F274" s="315">
        <f t="shared" si="54"/>
        <v>3.3064620204889872E-2</v>
      </c>
      <c r="G274" s="345"/>
      <c r="H274" s="345"/>
      <c r="I274" s="345"/>
      <c r="J274" s="345"/>
    </row>
    <row r="275" spans="2:10" ht="12.6" customHeight="1" thickBot="1" x14ac:dyDescent="0.3">
      <c r="B275" s="291" t="s">
        <v>2</v>
      </c>
      <c r="C275" s="292">
        <v>0</v>
      </c>
      <c r="D275" s="292">
        <v>0</v>
      </c>
      <c r="E275" s="292">
        <v>0</v>
      </c>
      <c r="F275" s="292">
        <v>0</v>
      </c>
      <c r="G275" s="344"/>
      <c r="H275" s="344"/>
      <c r="I275" s="344"/>
      <c r="J275" s="344"/>
    </row>
    <row r="276" spans="2:10" ht="12.6" customHeight="1" thickBot="1" x14ac:dyDescent="0.3">
      <c r="B276" s="314" t="s">
        <v>27</v>
      </c>
      <c r="C276" s="293"/>
      <c r="D276" s="315">
        <v>0</v>
      </c>
      <c r="E276" s="315">
        <v>0</v>
      </c>
      <c r="F276" s="315">
        <v>0</v>
      </c>
      <c r="G276" s="345"/>
      <c r="H276" s="345"/>
      <c r="I276" s="345"/>
      <c r="J276" s="345"/>
    </row>
    <row r="277" spans="2:10" ht="12.6" customHeight="1" thickBot="1" x14ac:dyDescent="0.3">
      <c r="B277" s="291" t="s">
        <v>28</v>
      </c>
      <c r="C277" s="292">
        <v>0</v>
      </c>
      <c r="D277" s="292">
        <v>0</v>
      </c>
      <c r="E277" s="292">
        <v>0</v>
      </c>
      <c r="F277" s="292">
        <v>0</v>
      </c>
      <c r="G277" s="344"/>
      <c r="H277" s="344"/>
      <c r="I277" s="344"/>
      <c r="J277" s="344"/>
    </row>
    <row r="278" spans="2:10" ht="12.6" customHeight="1" thickBot="1" x14ac:dyDescent="0.3">
      <c r="B278" s="314" t="s">
        <v>29</v>
      </c>
      <c r="C278" s="293"/>
      <c r="D278" s="315">
        <v>0</v>
      </c>
      <c r="E278" s="315">
        <v>0</v>
      </c>
      <c r="F278" s="315">
        <v>0</v>
      </c>
      <c r="G278" s="345"/>
      <c r="H278" s="345"/>
      <c r="I278" s="345"/>
      <c r="J278" s="345"/>
    </row>
    <row r="279" spans="2:10" ht="12.6" customHeight="1" thickBot="1" x14ac:dyDescent="0.3">
      <c r="B279" s="291" t="s">
        <v>30</v>
      </c>
      <c r="C279" s="292">
        <v>0</v>
      </c>
      <c r="D279" s="292">
        <v>0</v>
      </c>
      <c r="E279" s="292">
        <v>0</v>
      </c>
      <c r="F279" s="292">
        <v>0</v>
      </c>
      <c r="G279" s="344"/>
      <c r="H279" s="344"/>
      <c r="I279" s="344"/>
      <c r="J279" s="344"/>
    </row>
    <row r="280" spans="2:10" ht="12.6" customHeight="1" thickBot="1" x14ac:dyDescent="0.3">
      <c r="B280" s="314" t="s">
        <v>31</v>
      </c>
      <c r="C280" s="293"/>
      <c r="D280" s="315">
        <v>0</v>
      </c>
      <c r="E280" s="315">
        <v>0</v>
      </c>
      <c r="F280" s="315">
        <v>0</v>
      </c>
      <c r="G280" s="345"/>
      <c r="H280" s="345"/>
      <c r="I280" s="345"/>
      <c r="J280" s="345"/>
    </row>
    <row r="281" spans="2:10" ht="12.6" customHeight="1" thickBot="1" x14ac:dyDescent="0.3">
      <c r="B281" s="291" t="s">
        <v>3</v>
      </c>
      <c r="C281" s="292">
        <f>C201</f>
        <v>1400</v>
      </c>
      <c r="D281" s="292">
        <f t="shared" ref="D281:F281" si="55">D201</f>
        <v>1440</v>
      </c>
      <c r="E281" s="292">
        <f t="shared" si="55"/>
        <v>1483</v>
      </c>
      <c r="F281" s="292">
        <f t="shared" si="55"/>
        <v>1528</v>
      </c>
      <c r="G281" s="344"/>
      <c r="H281" s="344"/>
      <c r="I281" s="344"/>
      <c r="J281" s="344"/>
    </row>
    <row r="282" spans="2:10" ht="12.6" customHeight="1" thickBot="1" x14ac:dyDescent="0.3">
      <c r="B282" s="314" t="s">
        <v>32</v>
      </c>
      <c r="C282" s="293"/>
      <c r="D282" s="315">
        <f>D281/C281-1</f>
        <v>2.857142857142847E-2</v>
      </c>
      <c r="E282" s="315">
        <f t="shared" ref="E282" si="56">E281/D281-1</f>
        <v>2.9861111111111116E-2</v>
      </c>
      <c r="F282" s="315">
        <f t="shared" ref="F282" si="57">F281/E281-1</f>
        <v>3.0343897505057393E-2</v>
      </c>
      <c r="G282" s="345"/>
      <c r="H282" s="345"/>
      <c r="I282" s="345"/>
      <c r="J282" s="345"/>
    </row>
    <row r="283" spans="2:10" ht="12.6" customHeight="1" thickBot="1" x14ac:dyDescent="0.3">
      <c r="B283" s="291" t="s">
        <v>18</v>
      </c>
      <c r="C283" s="292">
        <v>0</v>
      </c>
      <c r="D283" s="292">
        <v>0</v>
      </c>
      <c r="E283" s="292">
        <v>0</v>
      </c>
      <c r="F283" s="292">
        <v>0</v>
      </c>
      <c r="G283" s="344"/>
      <c r="H283" s="344"/>
      <c r="I283" s="344"/>
      <c r="J283" s="344"/>
    </row>
    <row r="284" spans="2:10" ht="12.6" customHeight="1" thickBot="1" x14ac:dyDescent="0.3">
      <c r="B284" s="314" t="s">
        <v>33</v>
      </c>
      <c r="C284" s="293"/>
      <c r="D284" s="315">
        <v>0</v>
      </c>
      <c r="E284" s="315">
        <v>0</v>
      </c>
      <c r="F284" s="315">
        <v>0</v>
      </c>
      <c r="G284" s="345"/>
      <c r="H284" s="345"/>
      <c r="I284" s="345"/>
      <c r="J284" s="345"/>
    </row>
    <row r="285" spans="2:10" ht="12.6" customHeight="1" thickBot="1" x14ac:dyDescent="0.3">
      <c r="B285" s="291" t="s">
        <v>19</v>
      </c>
      <c r="C285" s="292">
        <f>C225+C245+C263</f>
        <v>72000</v>
      </c>
      <c r="D285" s="292">
        <f t="shared" ref="D285:F285" si="58">D225+D245+D263</f>
        <v>108500</v>
      </c>
      <c r="E285" s="292">
        <f t="shared" si="58"/>
        <v>114500</v>
      </c>
      <c r="F285" s="292">
        <f t="shared" si="58"/>
        <v>114500</v>
      </c>
      <c r="G285" s="344"/>
      <c r="H285" s="344"/>
      <c r="I285" s="344"/>
      <c r="J285" s="344"/>
    </row>
    <row r="286" spans="2:10" ht="12.6" customHeight="1" thickBot="1" x14ac:dyDescent="0.3">
      <c r="B286" s="314" t="s">
        <v>34</v>
      </c>
      <c r="C286" s="293"/>
      <c r="D286" s="315">
        <f>D285/C285-1</f>
        <v>0.50694444444444442</v>
      </c>
      <c r="E286" s="315">
        <f t="shared" ref="E286:F286" si="59">E285/D285-1</f>
        <v>5.5299539170506895E-2</v>
      </c>
      <c r="F286" s="315">
        <f t="shared" si="59"/>
        <v>0</v>
      </c>
      <c r="G286" s="345"/>
      <c r="H286" s="345"/>
      <c r="I286" s="345"/>
      <c r="J286" s="345"/>
    </row>
    <row r="287" spans="2:10" ht="12.6" customHeight="1" thickBot="1" x14ac:dyDescent="0.3">
      <c r="B287" s="325" t="s">
        <v>549</v>
      </c>
      <c r="C287" s="297">
        <f>C269+C271+C273+C275+C277+C279+C281+C283+C285</f>
        <v>798042</v>
      </c>
      <c r="D287" s="297">
        <f t="shared" ref="D287:F287" si="60">D269+D271+D273+D275+D277+D279+D281+D283+D285</f>
        <v>911724.70839000004</v>
      </c>
      <c r="E287" s="297">
        <f t="shared" si="60"/>
        <v>988339.87699999998</v>
      </c>
      <c r="F287" s="297">
        <f t="shared" si="60"/>
        <v>1071693.2517852699</v>
      </c>
      <c r="G287" s="290">
        <f>C287-'Formati 2.1 01110'!C261</f>
        <v>1000</v>
      </c>
      <c r="H287" s="290">
        <f>D287-'Formati 2.1 01110'!D261</f>
        <v>124682.60839000007</v>
      </c>
      <c r="I287" s="290">
        <f>E287-'Formati 2.1 01110'!E261</f>
        <v>193297.87699999998</v>
      </c>
    </row>
    <row r="288" spans="2:10" ht="12.6" customHeight="1" thickBot="1" x14ac:dyDescent="0.3">
      <c r="B288" s="296" t="s">
        <v>70</v>
      </c>
      <c r="C288" s="297">
        <f>C287-C266</f>
        <v>-0.19999999995343387</v>
      </c>
      <c r="D288" s="297">
        <f>D287-D266</f>
        <v>0</v>
      </c>
      <c r="E288" s="297">
        <f t="shared" ref="E288:F288" si="61">E287-E266</f>
        <v>0</v>
      </c>
      <c r="F288" s="297">
        <f t="shared" si="61"/>
        <v>0</v>
      </c>
    </row>
    <row r="289" spans="1:8" ht="12.6" customHeight="1" thickBot="1" x14ac:dyDescent="0.3">
      <c r="B289" s="316" t="s">
        <v>55</v>
      </c>
      <c r="C289" s="292">
        <f>C36</f>
        <v>678</v>
      </c>
      <c r="D289" s="292">
        <f t="shared" ref="D289:F289" si="62">D36</f>
        <v>678</v>
      </c>
      <c r="E289" s="292">
        <f t="shared" si="62"/>
        <v>678</v>
      </c>
      <c r="F289" s="292">
        <f t="shared" si="62"/>
        <v>678</v>
      </c>
    </row>
    <row r="290" spans="1:8" ht="12.6" customHeight="1" thickBot="1" x14ac:dyDescent="0.3">
      <c r="B290" s="316" t="s">
        <v>64</v>
      </c>
      <c r="C290" s="292">
        <v>42</v>
      </c>
      <c r="D290" s="292">
        <v>42</v>
      </c>
      <c r="E290" s="292">
        <v>42</v>
      </c>
      <c r="F290" s="292">
        <v>42</v>
      </c>
    </row>
    <row r="291" spans="1:8" ht="12.6" customHeight="1" thickBot="1" x14ac:dyDescent="0.3">
      <c r="B291" s="317"/>
      <c r="C291" s="318"/>
      <c r="D291" s="318">
        <f>D287-'Formati 2.1 01110'!D261</f>
        <v>124682.60839000007</v>
      </c>
      <c r="E291" s="318">
        <f>E287-'Formati 2.1 01110'!E261</f>
        <v>193297.87699999998</v>
      </c>
      <c r="F291" s="318">
        <f>F287-'Formati 2.1 01110'!F261</f>
        <v>276651.25178526994</v>
      </c>
    </row>
    <row r="292" spans="1:8" ht="12.6" customHeight="1" x14ac:dyDescent="0.25">
      <c r="A292" s="2137" t="s">
        <v>122</v>
      </c>
      <c r="B292" s="350"/>
      <c r="C292" s="2140" t="s">
        <v>83</v>
      </c>
      <c r="D292" s="351" t="s">
        <v>80</v>
      </c>
      <c r="E292" s="352"/>
      <c r="F292" s="2140" t="s">
        <v>118</v>
      </c>
      <c r="G292" s="351" t="s">
        <v>80</v>
      </c>
      <c r="H292" s="352"/>
    </row>
    <row r="293" spans="1:8" ht="12.6" customHeight="1" x14ac:dyDescent="0.25">
      <c r="A293" s="2138"/>
      <c r="B293" s="353"/>
      <c r="C293" s="2141"/>
      <c r="D293" s="354" t="s">
        <v>81</v>
      </c>
      <c r="E293" s="355"/>
      <c r="F293" s="2141"/>
      <c r="G293" s="354" t="s">
        <v>81</v>
      </c>
      <c r="H293" s="355"/>
    </row>
    <row r="294" spans="1:8" ht="18.600000000000001" customHeight="1" thickBot="1" x14ac:dyDescent="0.3">
      <c r="A294" s="2139"/>
      <c r="B294" s="356"/>
      <c r="C294" s="2142"/>
      <c r="D294" s="357" t="s">
        <v>82</v>
      </c>
      <c r="E294" s="358"/>
      <c r="F294" s="2142"/>
      <c r="G294" s="357" t="s">
        <v>82</v>
      </c>
      <c r="H294" s="358"/>
    </row>
    <row r="295" spans="1:8" ht="12.6" customHeight="1" thickBot="1" x14ac:dyDescent="0.3">
      <c r="B295" s="335"/>
      <c r="C295" s="320"/>
      <c r="D295" s="321"/>
      <c r="E295" s="319"/>
      <c r="F295" s="319"/>
    </row>
    <row r="296" spans="1:8" ht="12.6" customHeight="1" thickBot="1" x14ac:dyDescent="0.3">
      <c r="B296" s="336" t="s">
        <v>86</v>
      </c>
      <c r="C296" s="320"/>
      <c r="D296" s="321"/>
      <c r="E296" s="319"/>
      <c r="F296" s="319"/>
    </row>
    <row r="297" spans="1:8" ht="12.6" customHeight="1" x14ac:dyDescent="0.25">
      <c r="B297" s="2119" t="s">
        <v>123</v>
      </c>
      <c r="C297" s="2120"/>
      <c r="D297" s="2120"/>
      <c r="E297" s="2120"/>
      <c r="F297" s="2121"/>
    </row>
    <row r="298" spans="1:8" ht="12.6" customHeight="1" x14ac:dyDescent="0.25">
      <c r="B298" s="2122" t="s">
        <v>124</v>
      </c>
      <c r="C298" s="2123"/>
      <c r="D298" s="2123"/>
      <c r="E298" s="2123"/>
      <c r="F298" s="2124"/>
    </row>
    <row r="299" spans="1:8" ht="12.6" customHeight="1" x14ac:dyDescent="0.25">
      <c r="B299" s="2125" t="s">
        <v>125</v>
      </c>
      <c r="C299" s="2126"/>
      <c r="D299" s="2126"/>
      <c r="E299" s="2126"/>
      <c r="F299" s="2127"/>
    </row>
    <row r="300" spans="1:8" ht="12.6" customHeight="1" x14ac:dyDescent="0.25">
      <c r="B300" s="2125" t="s">
        <v>126</v>
      </c>
      <c r="C300" s="2126"/>
      <c r="D300" s="2126"/>
      <c r="E300" s="2126"/>
      <c r="F300" s="2127"/>
    </row>
    <row r="301" spans="1:8" ht="12.6" customHeight="1" x14ac:dyDescent="0.25">
      <c r="B301" s="2125" t="s">
        <v>115</v>
      </c>
      <c r="C301" s="2126"/>
      <c r="D301" s="2126"/>
      <c r="E301" s="2126"/>
      <c r="F301" s="2127"/>
    </row>
    <row r="302" spans="1:8" ht="12.6" customHeight="1" x14ac:dyDescent="0.25">
      <c r="B302" s="2128" t="s">
        <v>141</v>
      </c>
      <c r="C302" s="2126"/>
      <c r="D302" s="2126"/>
      <c r="E302" s="2126"/>
      <c r="F302" s="2127"/>
    </row>
    <row r="303" spans="1:8" ht="12.6" customHeight="1" thickBot="1" x14ac:dyDescent="0.3">
      <c r="B303" s="2116" t="s">
        <v>79</v>
      </c>
      <c r="C303" s="2117"/>
      <c r="D303" s="2117"/>
      <c r="E303" s="2117"/>
      <c r="F303" s="2118"/>
    </row>
  </sheetData>
  <mergeCells count="92">
    <mergeCell ref="C7:F7"/>
    <mergeCell ref="B1:F1"/>
    <mergeCell ref="B2:F2"/>
    <mergeCell ref="B3:F3"/>
    <mergeCell ref="C5:F5"/>
    <mergeCell ref="C6:F6"/>
    <mergeCell ref="C43:F43"/>
    <mergeCell ref="B8:F8"/>
    <mergeCell ref="B9:F13"/>
    <mergeCell ref="B14:F14"/>
    <mergeCell ref="B15:F16"/>
    <mergeCell ref="B17:B18"/>
    <mergeCell ref="C33:F33"/>
    <mergeCell ref="B34:F34"/>
    <mergeCell ref="B39:F39"/>
    <mergeCell ref="B40:F40"/>
    <mergeCell ref="C41:F41"/>
    <mergeCell ref="C42:F42"/>
    <mergeCell ref="B86:F86"/>
    <mergeCell ref="B44:B45"/>
    <mergeCell ref="B52:F52"/>
    <mergeCell ref="B53:B54"/>
    <mergeCell ref="C66:F66"/>
    <mergeCell ref="B67:F67"/>
    <mergeCell ref="B73:F73"/>
    <mergeCell ref="B74:F74"/>
    <mergeCell ref="C75:F75"/>
    <mergeCell ref="C76:F76"/>
    <mergeCell ref="C77:F77"/>
    <mergeCell ref="B78:B79"/>
    <mergeCell ref="C138:F138"/>
    <mergeCell ref="B87:B88"/>
    <mergeCell ref="C104:F104"/>
    <mergeCell ref="B105:F105"/>
    <mergeCell ref="B111:F111"/>
    <mergeCell ref="B112:F112"/>
    <mergeCell ref="C113:F113"/>
    <mergeCell ref="C114:F114"/>
    <mergeCell ref="C115:F115"/>
    <mergeCell ref="B116:B117"/>
    <mergeCell ref="B124:F124"/>
    <mergeCell ref="B125:B126"/>
    <mergeCell ref="C177:F177"/>
    <mergeCell ref="B139:F139"/>
    <mergeCell ref="B148:F148"/>
    <mergeCell ref="B149:F149"/>
    <mergeCell ref="C150:F150"/>
    <mergeCell ref="C151:F151"/>
    <mergeCell ref="C152:F152"/>
    <mergeCell ref="B153:B154"/>
    <mergeCell ref="B161:F161"/>
    <mergeCell ref="B162:B163"/>
    <mergeCell ref="B175:F175"/>
    <mergeCell ref="B176:F176"/>
    <mergeCell ref="B222:B223"/>
    <mergeCell ref="C178:F178"/>
    <mergeCell ref="C179:F179"/>
    <mergeCell ref="B180:B181"/>
    <mergeCell ref="B188:F188"/>
    <mergeCell ref="B189:B190"/>
    <mergeCell ref="C208:F208"/>
    <mergeCell ref="C210:F210"/>
    <mergeCell ref="C211:F211"/>
    <mergeCell ref="C212:F212"/>
    <mergeCell ref="B213:B214"/>
    <mergeCell ref="B221:F221"/>
    <mergeCell ref="C249:F249"/>
    <mergeCell ref="B227:F227"/>
    <mergeCell ref="B228:F228"/>
    <mergeCell ref="C229:F229"/>
    <mergeCell ref="C230:F230"/>
    <mergeCell ref="C231:F231"/>
    <mergeCell ref="C232:F232"/>
    <mergeCell ref="B233:B234"/>
    <mergeCell ref="B241:F241"/>
    <mergeCell ref="B242:B243"/>
    <mergeCell ref="C247:F247"/>
    <mergeCell ref="C248:F248"/>
    <mergeCell ref="C250:F250"/>
    <mergeCell ref="B251:B252"/>
    <mergeCell ref="B259:F259"/>
    <mergeCell ref="B260:B261"/>
    <mergeCell ref="A292:A294"/>
    <mergeCell ref="C292:C294"/>
    <mergeCell ref="F292:F294"/>
    <mergeCell ref="B303:F303"/>
    <mergeCell ref="B297:F297"/>
    <mergeCell ref="B298:F298"/>
    <mergeCell ref="B299:F299"/>
    <mergeCell ref="B300:F300"/>
    <mergeCell ref="B301:F301"/>
    <mergeCell ref="B302:F302"/>
  </mergeCells>
  <printOptions horizontalCentered="1" verticalCentered="1"/>
  <pageMargins left="7.874015748031496E-2" right="7.874015748031496E-2" top="0.39370078740157483" bottom="0.39370078740157483" header="0.31496062992125984" footer="0.31496062992125984"/>
  <pageSetup scale="74" orientation="portrait" r:id="rId1"/>
  <rowBreaks count="4" manualBreakCount="4">
    <brk id="65" max="5" man="1"/>
    <brk id="137" max="5" man="1"/>
    <brk id="226" max="5" man="1"/>
    <brk id="264" max="5" man="1"/>
  </rowBreaks>
  <colBreaks count="1" manualBreakCount="1">
    <brk id="6" max="279"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F0"/>
  </sheetPr>
  <dimension ref="A1:AK71"/>
  <sheetViews>
    <sheetView topLeftCell="J24" zoomScale="99" zoomScaleNormal="99" workbookViewId="0">
      <selection activeCell="N49" sqref="N49"/>
    </sheetView>
  </sheetViews>
  <sheetFormatPr defaultColWidth="9.140625" defaultRowHeight="8.25" x14ac:dyDescent="0.25"/>
  <cols>
    <col min="1" max="3" width="5.140625" style="401" hidden="1" customWidth="1"/>
    <col min="4" max="4" width="5.7109375" style="402" hidden="1" customWidth="1"/>
    <col min="5" max="5" width="2.85546875" style="404" hidden="1" customWidth="1"/>
    <col min="6" max="6" width="2.42578125" style="401" hidden="1" customWidth="1"/>
    <col min="7" max="7" width="1.85546875" style="401" hidden="1" customWidth="1"/>
    <col min="8" max="8" width="2.42578125" style="401" hidden="1" customWidth="1"/>
    <col min="9" max="9" width="3" style="401" hidden="1" customWidth="1"/>
    <col min="10" max="10" width="7.85546875" style="401" customWidth="1"/>
    <col min="11" max="11" width="33.28515625" style="403" customWidth="1"/>
    <col min="12" max="13" width="5.42578125" style="401" customWidth="1"/>
    <col min="14" max="14" width="12.5703125" style="401" customWidth="1"/>
    <col min="15" max="15" width="11.85546875" style="401" hidden="1" customWidth="1"/>
    <col min="16" max="16" width="5" style="401" customWidth="1"/>
    <col min="17" max="17" width="0.140625" style="401" hidden="1" customWidth="1"/>
    <col min="18" max="18" width="5.140625" style="401" hidden="1" customWidth="1"/>
    <col min="19" max="19" width="6.85546875" style="401" hidden="1" customWidth="1"/>
    <col min="20" max="20" width="5.7109375" style="401" hidden="1" customWidth="1"/>
    <col min="21" max="22" width="5.140625" style="401" hidden="1" customWidth="1"/>
    <col min="23" max="23" width="3.7109375" style="401" hidden="1" customWidth="1"/>
    <col min="24" max="24" width="13.7109375" style="402" hidden="1" customWidth="1"/>
    <col min="25" max="25" width="10.7109375" style="402" customWidth="1"/>
    <col min="26" max="26" width="9.28515625" style="401" customWidth="1"/>
    <col min="27" max="27" width="9.7109375" style="401" customWidth="1"/>
    <col min="28" max="28" width="10" style="401" customWidth="1"/>
    <col min="29" max="31" width="9.5703125" style="401" customWidth="1"/>
    <col min="32" max="34" width="8.85546875" style="401" customWidth="1"/>
    <col min="35" max="37" width="3.28515625" style="401" customWidth="1"/>
    <col min="38" max="256" width="9.140625" style="401"/>
    <col min="257" max="265" width="0" style="401" hidden="1" customWidth="1"/>
    <col min="266" max="266" width="7.85546875" style="401" customWidth="1"/>
    <col min="267" max="267" width="33.28515625" style="401" customWidth="1"/>
    <col min="268" max="269" width="5.42578125" style="401" customWidth="1"/>
    <col min="270" max="270" width="12.5703125" style="401" customWidth="1"/>
    <col min="271" max="271" width="0" style="401" hidden="1" customWidth="1"/>
    <col min="272" max="272" width="5" style="401" customWidth="1"/>
    <col min="273" max="280" width="0" style="401" hidden="1" customWidth="1"/>
    <col min="281" max="281" width="10.7109375" style="401" customWidth="1"/>
    <col min="282" max="282" width="9.28515625" style="401" customWidth="1"/>
    <col min="283" max="283" width="9.7109375" style="401" customWidth="1"/>
    <col min="284" max="284" width="10" style="401" customWidth="1"/>
    <col min="285" max="287" width="9.5703125" style="401" customWidth="1"/>
    <col min="288" max="290" width="8.85546875" style="401" customWidth="1"/>
    <col min="291" max="293" width="3.28515625" style="401" customWidth="1"/>
    <col min="294" max="512" width="9.140625" style="401"/>
    <col min="513" max="521" width="0" style="401" hidden="1" customWidth="1"/>
    <col min="522" max="522" width="7.85546875" style="401" customWidth="1"/>
    <col min="523" max="523" width="33.28515625" style="401" customWidth="1"/>
    <col min="524" max="525" width="5.42578125" style="401" customWidth="1"/>
    <col min="526" max="526" width="12.5703125" style="401" customWidth="1"/>
    <col min="527" max="527" width="0" style="401" hidden="1" customWidth="1"/>
    <col min="528" max="528" width="5" style="401" customWidth="1"/>
    <col min="529" max="536" width="0" style="401" hidden="1" customWidth="1"/>
    <col min="537" max="537" width="10.7109375" style="401" customWidth="1"/>
    <col min="538" max="538" width="9.28515625" style="401" customWidth="1"/>
    <col min="539" max="539" width="9.7109375" style="401" customWidth="1"/>
    <col min="540" max="540" width="10" style="401" customWidth="1"/>
    <col min="541" max="543" width="9.5703125" style="401" customWidth="1"/>
    <col min="544" max="546" width="8.85546875" style="401" customWidth="1"/>
    <col min="547" max="549" width="3.28515625" style="401" customWidth="1"/>
    <col min="550" max="768" width="9.140625" style="401"/>
    <col min="769" max="777" width="0" style="401" hidden="1" customWidth="1"/>
    <col min="778" max="778" width="7.85546875" style="401" customWidth="1"/>
    <col min="779" max="779" width="33.28515625" style="401" customWidth="1"/>
    <col min="780" max="781" width="5.42578125" style="401" customWidth="1"/>
    <col min="782" max="782" width="12.5703125" style="401" customWidth="1"/>
    <col min="783" max="783" width="0" style="401" hidden="1" customWidth="1"/>
    <col min="784" max="784" width="5" style="401" customWidth="1"/>
    <col min="785" max="792" width="0" style="401" hidden="1" customWidth="1"/>
    <col min="793" max="793" width="10.7109375" style="401" customWidth="1"/>
    <col min="794" max="794" width="9.28515625" style="401" customWidth="1"/>
    <col min="795" max="795" width="9.7109375" style="401" customWidth="1"/>
    <col min="796" max="796" width="10" style="401" customWidth="1"/>
    <col min="797" max="799" width="9.5703125" style="401" customWidth="1"/>
    <col min="800" max="802" width="8.85546875" style="401" customWidth="1"/>
    <col min="803" max="805" width="3.28515625" style="401" customWidth="1"/>
    <col min="806" max="1024" width="9.140625" style="401"/>
    <col min="1025" max="1033" width="0" style="401" hidden="1" customWidth="1"/>
    <col min="1034" max="1034" width="7.85546875" style="401" customWidth="1"/>
    <col min="1035" max="1035" width="33.28515625" style="401" customWidth="1"/>
    <col min="1036" max="1037" width="5.42578125" style="401" customWidth="1"/>
    <col min="1038" max="1038" width="12.5703125" style="401" customWidth="1"/>
    <col min="1039" max="1039" width="0" style="401" hidden="1" customWidth="1"/>
    <col min="1040" max="1040" width="5" style="401" customWidth="1"/>
    <col min="1041" max="1048" width="0" style="401" hidden="1" customWidth="1"/>
    <col min="1049" max="1049" width="10.7109375" style="401" customWidth="1"/>
    <col min="1050" max="1050" width="9.28515625" style="401" customWidth="1"/>
    <col min="1051" max="1051" width="9.7109375" style="401" customWidth="1"/>
    <col min="1052" max="1052" width="10" style="401" customWidth="1"/>
    <col min="1053" max="1055" width="9.5703125" style="401" customWidth="1"/>
    <col min="1056" max="1058" width="8.85546875" style="401" customWidth="1"/>
    <col min="1059" max="1061" width="3.28515625" style="401" customWidth="1"/>
    <col min="1062" max="1280" width="9.140625" style="401"/>
    <col min="1281" max="1289" width="0" style="401" hidden="1" customWidth="1"/>
    <col min="1290" max="1290" width="7.85546875" style="401" customWidth="1"/>
    <col min="1291" max="1291" width="33.28515625" style="401" customWidth="1"/>
    <col min="1292" max="1293" width="5.42578125" style="401" customWidth="1"/>
    <col min="1294" max="1294" width="12.5703125" style="401" customWidth="1"/>
    <col min="1295" max="1295" width="0" style="401" hidden="1" customWidth="1"/>
    <col min="1296" max="1296" width="5" style="401" customWidth="1"/>
    <col min="1297" max="1304" width="0" style="401" hidden="1" customWidth="1"/>
    <col min="1305" max="1305" width="10.7109375" style="401" customWidth="1"/>
    <col min="1306" max="1306" width="9.28515625" style="401" customWidth="1"/>
    <col min="1307" max="1307" width="9.7109375" style="401" customWidth="1"/>
    <col min="1308" max="1308" width="10" style="401" customWidth="1"/>
    <col min="1309" max="1311" width="9.5703125" style="401" customWidth="1"/>
    <col min="1312" max="1314" width="8.85546875" style="401" customWidth="1"/>
    <col min="1315" max="1317" width="3.28515625" style="401" customWidth="1"/>
    <col min="1318" max="1536" width="9.140625" style="401"/>
    <col min="1537" max="1545" width="0" style="401" hidden="1" customWidth="1"/>
    <col min="1546" max="1546" width="7.85546875" style="401" customWidth="1"/>
    <col min="1547" max="1547" width="33.28515625" style="401" customWidth="1"/>
    <col min="1548" max="1549" width="5.42578125" style="401" customWidth="1"/>
    <col min="1550" max="1550" width="12.5703125" style="401" customWidth="1"/>
    <col min="1551" max="1551" width="0" style="401" hidden="1" customWidth="1"/>
    <col min="1552" max="1552" width="5" style="401" customWidth="1"/>
    <col min="1553" max="1560" width="0" style="401" hidden="1" customWidth="1"/>
    <col min="1561" max="1561" width="10.7109375" style="401" customWidth="1"/>
    <col min="1562" max="1562" width="9.28515625" style="401" customWidth="1"/>
    <col min="1563" max="1563" width="9.7109375" style="401" customWidth="1"/>
    <col min="1564" max="1564" width="10" style="401" customWidth="1"/>
    <col min="1565" max="1567" width="9.5703125" style="401" customWidth="1"/>
    <col min="1568" max="1570" width="8.85546875" style="401" customWidth="1"/>
    <col min="1571" max="1573" width="3.28515625" style="401" customWidth="1"/>
    <col min="1574" max="1792" width="9.140625" style="401"/>
    <col min="1793" max="1801" width="0" style="401" hidden="1" customWidth="1"/>
    <col min="1802" max="1802" width="7.85546875" style="401" customWidth="1"/>
    <col min="1803" max="1803" width="33.28515625" style="401" customWidth="1"/>
    <col min="1804" max="1805" width="5.42578125" style="401" customWidth="1"/>
    <col min="1806" max="1806" width="12.5703125" style="401" customWidth="1"/>
    <col min="1807" max="1807" width="0" style="401" hidden="1" customWidth="1"/>
    <col min="1808" max="1808" width="5" style="401" customWidth="1"/>
    <col min="1809" max="1816" width="0" style="401" hidden="1" customWidth="1"/>
    <col min="1817" max="1817" width="10.7109375" style="401" customWidth="1"/>
    <col min="1818" max="1818" width="9.28515625" style="401" customWidth="1"/>
    <col min="1819" max="1819" width="9.7109375" style="401" customWidth="1"/>
    <col min="1820" max="1820" width="10" style="401" customWidth="1"/>
    <col min="1821" max="1823" width="9.5703125" style="401" customWidth="1"/>
    <col min="1824" max="1826" width="8.85546875" style="401" customWidth="1"/>
    <col min="1827" max="1829" width="3.28515625" style="401" customWidth="1"/>
    <col min="1830" max="2048" width="9.140625" style="401"/>
    <col min="2049" max="2057" width="0" style="401" hidden="1" customWidth="1"/>
    <col min="2058" max="2058" width="7.85546875" style="401" customWidth="1"/>
    <col min="2059" max="2059" width="33.28515625" style="401" customWidth="1"/>
    <col min="2060" max="2061" width="5.42578125" style="401" customWidth="1"/>
    <col min="2062" max="2062" width="12.5703125" style="401" customWidth="1"/>
    <col min="2063" max="2063" width="0" style="401" hidden="1" customWidth="1"/>
    <col min="2064" max="2064" width="5" style="401" customWidth="1"/>
    <col min="2065" max="2072" width="0" style="401" hidden="1" customWidth="1"/>
    <col min="2073" max="2073" width="10.7109375" style="401" customWidth="1"/>
    <col min="2074" max="2074" width="9.28515625" style="401" customWidth="1"/>
    <col min="2075" max="2075" width="9.7109375" style="401" customWidth="1"/>
    <col min="2076" max="2076" width="10" style="401" customWidth="1"/>
    <col min="2077" max="2079" width="9.5703125" style="401" customWidth="1"/>
    <col min="2080" max="2082" width="8.85546875" style="401" customWidth="1"/>
    <col min="2083" max="2085" width="3.28515625" style="401" customWidth="1"/>
    <col min="2086" max="2304" width="9.140625" style="401"/>
    <col min="2305" max="2313" width="0" style="401" hidden="1" customWidth="1"/>
    <col min="2314" max="2314" width="7.85546875" style="401" customWidth="1"/>
    <col min="2315" max="2315" width="33.28515625" style="401" customWidth="1"/>
    <col min="2316" max="2317" width="5.42578125" style="401" customWidth="1"/>
    <col min="2318" max="2318" width="12.5703125" style="401" customWidth="1"/>
    <col min="2319" max="2319" width="0" style="401" hidden="1" customWidth="1"/>
    <col min="2320" max="2320" width="5" style="401" customWidth="1"/>
    <col min="2321" max="2328" width="0" style="401" hidden="1" customWidth="1"/>
    <col min="2329" max="2329" width="10.7109375" style="401" customWidth="1"/>
    <col min="2330" max="2330" width="9.28515625" style="401" customWidth="1"/>
    <col min="2331" max="2331" width="9.7109375" style="401" customWidth="1"/>
    <col min="2332" max="2332" width="10" style="401" customWidth="1"/>
    <col min="2333" max="2335" width="9.5703125" style="401" customWidth="1"/>
    <col min="2336" max="2338" width="8.85546875" style="401" customWidth="1"/>
    <col min="2339" max="2341" width="3.28515625" style="401" customWidth="1"/>
    <col min="2342" max="2560" width="9.140625" style="401"/>
    <col min="2561" max="2569" width="0" style="401" hidden="1" customWidth="1"/>
    <col min="2570" max="2570" width="7.85546875" style="401" customWidth="1"/>
    <col min="2571" max="2571" width="33.28515625" style="401" customWidth="1"/>
    <col min="2572" max="2573" width="5.42578125" style="401" customWidth="1"/>
    <col min="2574" max="2574" width="12.5703125" style="401" customWidth="1"/>
    <col min="2575" max="2575" width="0" style="401" hidden="1" customWidth="1"/>
    <col min="2576" max="2576" width="5" style="401" customWidth="1"/>
    <col min="2577" max="2584" width="0" style="401" hidden="1" customWidth="1"/>
    <col min="2585" max="2585" width="10.7109375" style="401" customWidth="1"/>
    <col min="2586" max="2586" width="9.28515625" style="401" customWidth="1"/>
    <col min="2587" max="2587" width="9.7109375" style="401" customWidth="1"/>
    <col min="2588" max="2588" width="10" style="401" customWidth="1"/>
    <col min="2589" max="2591" width="9.5703125" style="401" customWidth="1"/>
    <col min="2592" max="2594" width="8.85546875" style="401" customWidth="1"/>
    <col min="2595" max="2597" width="3.28515625" style="401" customWidth="1"/>
    <col min="2598" max="2816" width="9.140625" style="401"/>
    <col min="2817" max="2825" width="0" style="401" hidden="1" customWidth="1"/>
    <col min="2826" max="2826" width="7.85546875" style="401" customWidth="1"/>
    <col min="2827" max="2827" width="33.28515625" style="401" customWidth="1"/>
    <col min="2828" max="2829" width="5.42578125" style="401" customWidth="1"/>
    <col min="2830" max="2830" width="12.5703125" style="401" customWidth="1"/>
    <col min="2831" max="2831" width="0" style="401" hidden="1" customWidth="1"/>
    <col min="2832" max="2832" width="5" style="401" customWidth="1"/>
    <col min="2833" max="2840" width="0" style="401" hidden="1" customWidth="1"/>
    <col min="2841" max="2841" width="10.7109375" style="401" customWidth="1"/>
    <col min="2842" max="2842" width="9.28515625" style="401" customWidth="1"/>
    <col min="2843" max="2843" width="9.7109375" style="401" customWidth="1"/>
    <col min="2844" max="2844" width="10" style="401" customWidth="1"/>
    <col min="2845" max="2847" width="9.5703125" style="401" customWidth="1"/>
    <col min="2848" max="2850" width="8.85546875" style="401" customWidth="1"/>
    <col min="2851" max="2853" width="3.28515625" style="401" customWidth="1"/>
    <col min="2854" max="3072" width="9.140625" style="401"/>
    <col min="3073" max="3081" width="0" style="401" hidden="1" customWidth="1"/>
    <col min="3082" max="3082" width="7.85546875" style="401" customWidth="1"/>
    <col min="3083" max="3083" width="33.28515625" style="401" customWidth="1"/>
    <col min="3084" max="3085" width="5.42578125" style="401" customWidth="1"/>
    <col min="3086" max="3086" width="12.5703125" style="401" customWidth="1"/>
    <col min="3087" max="3087" width="0" style="401" hidden="1" customWidth="1"/>
    <col min="3088" max="3088" width="5" style="401" customWidth="1"/>
    <col min="3089" max="3096" width="0" style="401" hidden="1" customWidth="1"/>
    <col min="3097" max="3097" width="10.7109375" style="401" customWidth="1"/>
    <col min="3098" max="3098" width="9.28515625" style="401" customWidth="1"/>
    <col min="3099" max="3099" width="9.7109375" style="401" customWidth="1"/>
    <col min="3100" max="3100" width="10" style="401" customWidth="1"/>
    <col min="3101" max="3103" width="9.5703125" style="401" customWidth="1"/>
    <col min="3104" max="3106" width="8.85546875" style="401" customWidth="1"/>
    <col min="3107" max="3109" width="3.28515625" style="401" customWidth="1"/>
    <col min="3110" max="3328" width="9.140625" style="401"/>
    <col min="3329" max="3337" width="0" style="401" hidden="1" customWidth="1"/>
    <col min="3338" max="3338" width="7.85546875" style="401" customWidth="1"/>
    <col min="3339" max="3339" width="33.28515625" style="401" customWidth="1"/>
    <col min="3340" max="3341" width="5.42578125" style="401" customWidth="1"/>
    <col min="3342" max="3342" width="12.5703125" style="401" customWidth="1"/>
    <col min="3343" max="3343" width="0" style="401" hidden="1" customWidth="1"/>
    <col min="3344" max="3344" width="5" style="401" customWidth="1"/>
    <col min="3345" max="3352" width="0" style="401" hidden="1" customWidth="1"/>
    <col min="3353" max="3353" width="10.7109375" style="401" customWidth="1"/>
    <col min="3354" max="3354" width="9.28515625" style="401" customWidth="1"/>
    <col min="3355" max="3355" width="9.7109375" style="401" customWidth="1"/>
    <col min="3356" max="3356" width="10" style="401" customWidth="1"/>
    <col min="3357" max="3359" width="9.5703125" style="401" customWidth="1"/>
    <col min="3360" max="3362" width="8.85546875" style="401" customWidth="1"/>
    <col min="3363" max="3365" width="3.28515625" style="401" customWidth="1"/>
    <col min="3366" max="3584" width="9.140625" style="401"/>
    <col min="3585" max="3593" width="0" style="401" hidden="1" customWidth="1"/>
    <col min="3594" max="3594" width="7.85546875" style="401" customWidth="1"/>
    <col min="3595" max="3595" width="33.28515625" style="401" customWidth="1"/>
    <col min="3596" max="3597" width="5.42578125" style="401" customWidth="1"/>
    <col min="3598" max="3598" width="12.5703125" style="401" customWidth="1"/>
    <col min="3599" max="3599" width="0" style="401" hidden="1" customWidth="1"/>
    <col min="3600" max="3600" width="5" style="401" customWidth="1"/>
    <col min="3601" max="3608" width="0" style="401" hidden="1" customWidth="1"/>
    <col min="3609" max="3609" width="10.7109375" style="401" customWidth="1"/>
    <col min="3610" max="3610" width="9.28515625" style="401" customWidth="1"/>
    <col min="3611" max="3611" width="9.7109375" style="401" customWidth="1"/>
    <col min="3612" max="3612" width="10" style="401" customWidth="1"/>
    <col min="3613" max="3615" width="9.5703125" style="401" customWidth="1"/>
    <col min="3616" max="3618" width="8.85546875" style="401" customWidth="1"/>
    <col min="3619" max="3621" width="3.28515625" style="401" customWidth="1"/>
    <col min="3622" max="3840" width="9.140625" style="401"/>
    <col min="3841" max="3849" width="0" style="401" hidden="1" customWidth="1"/>
    <col min="3850" max="3850" width="7.85546875" style="401" customWidth="1"/>
    <col min="3851" max="3851" width="33.28515625" style="401" customWidth="1"/>
    <col min="3852" max="3853" width="5.42578125" style="401" customWidth="1"/>
    <col min="3854" max="3854" width="12.5703125" style="401" customWidth="1"/>
    <col min="3855" max="3855" width="0" style="401" hidden="1" customWidth="1"/>
    <col min="3856" max="3856" width="5" style="401" customWidth="1"/>
    <col min="3857" max="3864" width="0" style="401" hidden="1" customWidth="1"/>
    <col min="3865" max="3865" width="10.7109375" style="401" customWidth="1"/>
    <col min="3866" max="3866" width="9.28515625" style="401" customWidth="1"/>
    <col min="3867" max="3867" width="9.7109375" style="401" customWidth="1"/>
    <col min="3868" max="3868" width="10" style="401" customWidth="1"/>
    <col min="3869" max="3871" width="9.5703125" style="401" customWidth="1"/>
    <col min="3872" max="3874" width="8.85546875" style="401" customWidth="1"/>
    <col min="3875" max="3877" width="3.28515625" style="401" customWidth="1"/>
    <col min="3878" max="4096" width="9.140625" style="401"/>
    <col min="4097" max="4105" width="0" style="401" hidden="1" customWidth="1"/>
    <col min="4106" max="4106" width="7.85546875" style="401" customWidth="1"/>
    <col min="4107" max="4107" width="33.28515625" style="401" customWidth="1"/>
    <col min="4108" max="4109" width="5.42578125" style="401" customWidth="1"/>
    <col min="4110" max="4110" width="12.5703125" style="401" customWidth="1"/>
    <col min="4111" max="4111" width="0" style="401" hidden="1" customWidth="1"/>
    <col min="4112" max="4112" width="5" style="401" customWidth="1"/>
    <col min="4113" max="4120" width="0" style="401" hidden="1" customWidth="1"/>
    <col min="4121" max="4121" width="10.7109375" style="401" customWidth="1"/>
    <col min="4122" max="4122" width="9.28515625" style="401" customWidth="1"/>
    <col min="4123" max="4123" width="9.7109375" style="401" customWidth="1"/>
    <col min="4124" max="4124" width="10" style="401" customWidth="1"/>
    <col min="4125" max="4127" width="9.5703125" style="401" customWidth="1"/>
    <col min="4128" max="4130" width="8.85546875" style="401" customWidth="1"/>
    <col min="4131" max="4133" width="3.28515625" style="401" customWidth="1"/>
    <col min="4134" max="4352" width="9.140625" style="401"/>
    <col min="4353" max="4361" width="0" style="401" hidden="1" customWidth="1"/>
    <col min="4362" max="4362" width="7.85546875" style="401" customWidth="1"/>
    <col min="4363" max="4363" width="33.28515625" style="401" customWidth="1"/>
    <col min="4364" max="4365" width="5.42578125" style="401" customWidth="1"/>
    <col min="4366" max="4366" width="12.5703125" style="401" customWidth="1"/>
    <col min="4367" max="4367" width="0" style="401" hidden="1" customWidth="1"/>
    <col min="4368" max="4368" width="5" style="401" customWidth="1"/>
    <col min="4369" max="4376" width="0" style="401" hidden="1" customWidth="1"/>
    <col min="4377" max="4377" width="10.7109375" style="401" customWidth="1"/>
    <col min="4378" max="4378" width="9.28515625" style="401" customWidth="1"/>
    <col min="4379" max="4379" width="9.7109375" style="401" customWidth="1"/>
    <col min="4380" max="4380" width="10" style="401" customWidth="1"/>
    <col min="4381" max="4383" width="9.5703125" style="401" customWidth="1"/>
    <col min="4384" max="4386" width="8.85546875" style="401" customWidth="1"/>
    <col min="4387" max="4389" width="3.28515625" style="401" customWidth="1"/>
    <col min="4390" max="4608" width="9.140625" style="401"/>
    <col min="4609" max="4617" width="0" style="401" hidden="1" customWidth="1"/>
    <col min="4618" max="4618" width="7.85546875" style="401" customWidth="1"/>
    <col min="4619" max="4619" width="33.28515625" style="401" customWidth="1"/>
    <col min="4620" max="4621" width="5.42578125" style="401" customWidth="1"/>
    <col min="4622" max="4622" width="12.5703125" style="401" customWidth="1"/>
    <col min="4623" max="4623" width="0" style="401" hidden="1" customWidth="1"/>
    <col min="4624" max="4624" width="5" style="401" customWidth="1"/>
    <col min="4625" max="4632" width="0" style="401" hidden="1" customWidth="1"/>
    <col min="4633" max="4633" width="10.7109375" style="401" customWidth="1"/>
    <col min="4634" max="4634" width="9.28515625" style="401" customWidth="1"/>
    <col min="4635" max="4635" width="9.7109375" style="401" customWidth="1"/>
    <col min="4636" max="4636" width="10" style="401" customWidth="1"/>
    <col min="4637" max="4639" width="9.5703125" style="401" customWidth="1"/>
    <col min="4640" max="4642" width="8.85546875" style="401" customWidth="1"/>
    <col min="4643" max="4645" width="3.28515625" style="401" customWidth="1"/>
    <col min="4646" max="4864" width="9.140625" style="401"/>
    <col min="4865" max="4873" width="0" style="401" hidden="1" customWidth="1"/>
    <col min="4874" max="4874" width="7.85546875" style="401" customWidth="1"/>
    <col min="4875" max="4875" width="33.28515625" style="401" customWidth="1"/>
    <col min="4876" max="4877" width="5.42578125" style="401" customWidth="1"/>
    <col min="4878" max="4878" width="12.5703125" style="401" customWidth="1"/>
    <col min="4879" max="4879" width="0" style="401" hidden="1" customWidth="1"/>
    <col min="4880" max="4880" width="5" style="401" customWidth="1"/>
    <col min="4881" max="4888" width="0" style="401" hidden="1" customWidth="1"/>
    <col min="4889" max="4889" width="10.7109375" style="401" customWidth="1"/>
    <col min="4890" max="4890" width="9.28515625" style="401" customWidth="1"/>
    <col min="4891" max="4891" width="9.7109375" style="401" customWidth="1"/>
    <col min="4892" max="4892" width="10" style="401" customWidth="1"/>
    <col min="4893" max="4895" width="9.5703125" style="401" customWidth="1"/>
    <col min="4896" max="4898" width="8.85546875" style="401" customWidth="1"/>
    <col min="4899" max="4901" width="3.28515625" style="401" customWidth="1"/>
    <col min="4902" max="5120" width="9.140625" style="401"/>
    <col min="5121" max="5129" width="0" style="401" hidden="1" customWidth="1"/>
    <col min="5130" max="5130" width="7.85546875" style="401" customWidth="1"/>
    <col min="5131" max="5131" width="33.28515625" style="401" customWidth="1"/>
    <col min="5132" max="5133" width="5.42578125" style="401" customWidth="1"/>
    <col min="5134" max="5134" width="12.5703125" style="401" customWidth="1"/>
    <col min="5135" max="5135" width="0" style="401" hidden="1" customWidth="1"/>
    <col min="5136" max="5136" width="5" style="401" customWidth="1"/>
    <col min="5137" max="5144" width="0" style="401" hidden="1" customWidth="1"/>
    <col min="5145" max="5145" width="10.7109375" style="401" customWidth="1"/>
    <col min="5146" max="5146" width="9.28515625" style="401" customWidth="1"/>
    <col min="5147" max="5147" width="9.7109375" style="401" customWidth="1"/>
    <col min="5148" max="5148" width="10" style="401" customWidth="1"/>
    <col min="5149" max="5151" width="9.5703125" style="401" customWidth="1"/>
    <col min="5152" max="5154" width="8.85546875" style="401" customWidth="1"/>
    <col min="5155" max="5157" width="3.28515625" style="401" customWidth="1"/>
    <col min="5158" max="5376" width="9.140625" style="401"/>
    <col min="5377" max="5385" width="0" style="401" hidden="1" customWidth="1"/>
    <col min="5386" max="5386" width="7.85546875" style="401" customWidth="1"/>
    <col min="5387" max="5387" width="33.28515625" style="401" customWidth="1"/>
    <col min="5388" max="5389" width="5.42578125" style="401" customWidth="1"/>
    <col min="5390" max="5390" width="12.5703125" style="401" customWidth="1"/>
    <col min="5391" max="5391" width="0" style="401" hidden="1" customWidth="1"/>
    <col min="5392" max="5392" width="5" style="401" customWidth="1"/>
    <col min="5393" max="5400" width="0" style="401" hidden="1" customWidth="1"/>
    <col min="5401" max="5401" width="10.7109375" style="401" customWidth="1"/>
    <col min="5402" max="5402" width="9.28515625" style="401" customWidth="1"/>
    <col min="5403" max="5403" width="9.7109375" style="401" customWidth="1"/>
    <col min="5404" max="5404" width="10" style="401" customWidth="1"/>
    <col min="5405" max="5407" width="9.5703125" style="401" customWidth="1"/>
    <col min="5408" max="5410" width="8.85546875" style="401" customWidth="1"/>
    <col min="5411" max="5413" width="3.28515625" style="401" customWidth="1"/>
    <col min="5414" max="5632" width="9.140625" style="401"/>
    <col min="5633" max="5641" width="0" style="401" hidden="1" customWidth="1"/>
    <col min="5642" max="5642" width="7.85546875" style="401" customWidth="1"/>
    <col min="5643" max="5643" width="33.28515625" style="401" customWidth="1"/>
    <col min="5644" max="5645" width="5.42578125" style="401" customWidth="1"/>
    <col min="5646" max="5646" width="12.5703125" style="401" customWidth="1"/>
    <col min="5647" max="5647" width="0" style="401" hidden="1" customWidth="1"/>
    <col min="5648" max="5648" width="5" style="401" customWidth="1"/>
    <col min="5649" max="5656" width="0" style="401" hidden="1" customWidth="1"/>
    <col min="5657" max="5657" width="10.7109375" style="401" customWidth="1"/>
    <col min="5658" max="5658" width="9.28515625" style="401" customWidth="1"/>
    <col min="5659" max="5659" width="9.7109375" style="401" customWidth="1"/>
    <col min="5660" max="5660" width="10" style="401" customWidth="1"/>
    <col min="5661" max="5663" width="9.5703125" style="401" customWidth="1"/>
    <col min="5664" max="5666" width="8.85546875" style="401" customWidth="1"/>
    <col min="5667" max="5669" width="3.28515625" style="401" customWidth="1"/>
    <col min="5670" max="5888" width="9.140625" style="401"/>
    <col min="5889" max="5897" width="0" style="401" hidden="1" customWidth="1"/>
    <col min="5898" max="5898" width="7.85546875" style="401" customWidth="1"/>
    <col min="5899" max="5899" width="33.28515625" style="401" customWidth="1"/>
    <col min="5900" max="5901" width="5.42578125" style="401" customWidth="1"/>
    <col min="5902" max="5902" width="12.5703125" style="401" customWidth="1"/>
    <col min="5903" max="5903" width="0" style="401" hidden="1" customWidth="1"/>
    <col min="5904" max="5904" width="5" style="401" customWidth="1"/>
    <col min="5905" max="5912" width="0" style="401" hidden="1" customWidth="1"/>
    <col min="5913" max="5913" width="10.7109375" style="401" customWidth="1"/>
    <col min="5914" max="5914" width="9.28515625" style="401" customWidth="1"/>
    <col min="5915" max="5915" width="9.7109375" style="401" customWidth="1"/>
    <col min="5916" max="5916" width="10" style="401" customWidth="1"/>
    <col min="5917" max="5919" width="9.5703125" style="401" customWidth="1"/>
    <col min="5920" max="5922" width="8.85546875" style="401" customWidth="1"/>
    <col min="5923" max="5925" width="3.28515625" style="401" customWidth="1"/>
    <col min="5926" max="6144" width="9.140625" style="401"/>
    <col min="6145" max="6153" width="0" style="401" hidden="1" customWidth="1"/>
    <col min="6154" max="6154" width="7.85546875" style="401" customWidth="1"/>
    <col min="6155" max="6155" width="33.28515625" style="401" customWidth="1"/>
    <col min="6156" max="6157" width="5.42578125" style="401" customWidth="1"/>
    <col min="6158" max="6158" width="12.5703125" style="401" customWidth="1"/>
    <col min="6159" max="6159" width="0" style="401" hidden="1" customWidth="1"/>
    <col min="6160" max="6160" width="5" style="401" customWidth="1"/>
    <col min="6161" max="6168" width="0" style="401" hidden="1" customWidth="1"/>
    <col min="6169" max="6169" width="10.7109375" style="401" customWidth="1"/>
    <col min="6170" max="6170" width="9.28515625" style="401" customWidth="1"/>
    <col min="6171" max="6171" width="9.7109375" style="401" customWidth="1"/>
    <col min="6172" max="6172" width="10" style="401" customWidth="1"/>
    <col min="6173" max="6175" width="9.5703125" style="401" customWidth="1"/>
    <col min="6176" max="6178" width="8.85546875" style="401" customWidth="1"/>
    <col min="6179" max="6181" width="3.28515625" style="401" customWidth="1"/>
    <col min="6182" max="6400" width="9.140625" style="401"/>
    <col min="6401" max="6409" width="0" style="401" hidden="1" customWidth="1"/>
    <col min="6410" max="6410" width="7.85546875" style="401" customWidth="1"/>
    <col min="6411" max="6411" width="33.28515625" style="401" customWidth="1"/>
    <col min="6412" max="6413" width="5.42578125" style="401" customWidth="1"/>
    <col min="6414" max="6414" width="12.5703125" style="401" customWidth="1"/>
    <col min="6415" max="6415" width="0" style="401" hidden="1" customWidth="1"/>
    <col min="6416" max="6416" width="5" style="401" customWidth="1"/>
    <col min="6417" max="6424" width="0" style="401" hidden="1" customWidth="1"/>
    <col min="6425" max="6425" width="10.7109375" style="401" customWidth="1"/>
    <col min="6426" max="6426" width="9.28515625" style="401" customWidth="1"/>
    <col min="6427" max="6427" width="9.7109375" style="401" customWidth="1"/>
    <col min="6428" max="6428" width="10" style="401" customWidth="1"/>
    <col min="6429" max="6431" width="9.5703125" style="401" customWidth="1"/>
    <col min="6432" max="6434" width="8.85546875" style="401" customWidth="1"/>
    <col min="6435" max="6437" width="3.28515625" style="401" customWidth="1"/>
    <col min="6438" max="6656" width="9.140625" style="401"/>
    <col min="6657" max="6665" width="0" style="401" hidden="1" customWidth="1"/>
    <col min="6666" max="6666" width="7.85546875" style="401" customWidth="1"/>
    <col min="6667" max="6667" width="33.28515625" style="401" customWidth="1"/>
    <col min="6668" max="6669" width="5.42578125" style="401" customWidth="1"/>
    <col min="6670" max="6670" width="12.5703125" style="401" customWidth="1"/>
    <col min="6671" max="6671" width="0" style="401" hidden="1" customWidth="1"/>
    <col min="6672" max="6672" width="5" style="401" customWidth="1"/>
    <col min="6673" max="6680" width="0" style="401" hidden="1" customWidth="1"/>
    <col min="6681" max="6681" width="10.7109375" style="401" customWidth="1"/>
    <col min="6682" max="6682" width="9.28515625" style="401" customWidth="1"/>
    <col min="6683" max="6683" width="9.7109375" style="401" customWidth="1"/>
    <col min="6684" max="6684" width="10" style="401" customWidth="1"/>
    <col min="6685" max="6687" width="9.5703125" style="401" customWidth="1"/>
    <col min="6688" max="6690" width="8.85546875" style="401" customWidth="1"/>
    <col min="6691" max="6693" width="3.28515625" style="401" customWidth="1"/>
    <col min="6694" max="6912" width="9.140625" style="401"/>
    <col min="6913" max="6921" width="0" style="401" hidden="1" customWidth="1"/>
    <col min="6922" max="6922" width="7.85546875" style="401" customWidth="1"/>
    <col min="6923" max="6923" width="33.28515625" style="401" customWidth="1"/>
    <col min="6924" max="6925" width="5.42578125" style="401" customWidth="1"/>
    <col min="6926" max="6926" width="12.5703125" style="401" customWidth="1"/>
    <col min="6927" max="6927" width="0" style="401" hidden="1" customWidth="1"/>
    <col min="6928" max="6928" width="5" style="401" customWidth="1"/>
    <col min="6929" max="6936" width="0" style="401" hidden="1" customWidth="1"/>
    <col min="6937" max="6937" width="10.7109375" style="401" customWidth="1"/>
    <col min="6938" max="6938" width="9.28515625" style="401" customWidth="1"/>
    <col min="6939" max="6939" width="9.7109375" style="401" customWidth="1"/>
    <col min="6940" max="6940" width="10" style="401" customWidth="1"/>
    <col min="6941" max="6943" width="9.5703125" style="401" customWidth="1"/>
    <col min="6944" max="6946" width="8.85546875" style="401" customWidth="1"/>
    <col min="6947" max="6949" width="3.28515625" style="401" customWidth="1"/>
    <col min="6950" max="7168" width="9.140625" style="401"/>
    <col min="7169" max="7177" width="0" style="401" hidden="1" customWidth="1"/>
    <col min="7178" max="7178" width="7.85546875" style="401" customWidth="1"/>
    <col min="7179" max="7179" width="33.28515625" style="401" customWidth="1"/>
    <col min="7180" max="7181" width="5.42578125" style="401" customWidth="1"/>
    <col min="7182" max="7182" width="12.5703125" style="401" customWidth="1"/>
    <col min="7183" max="7183" width="0" style="401" hidden="1" customWidth="1"/>
    <col min="7184" max="7184" width="5" style="401" customWidth="1"/>
    <col min="7185" max="7192" width="0" style="401" hidden="1" customWidth="1"/>
    <col min="7193" max="7193" width="10.7109375" style="401" customWidth="1"/>
    <col min="7194" max="7194" width="9.28515625" style="401" customWidth="1"/>
    <col min="7195" max="7195" width="9.7109375" style="401" customWidth="1"/>
    <col min="7196" max="7196" width="10" style="401" customWidth="1"/>
    <col min="7197" max="7199" width="9.5703125" style="401" customWidth="1"/>
    <col min="7200" max="7202" width="8.85546875" style="401" customWidth="1"/>
    <col min="7203" max="7205" width="3.28515625" style="401" customWidth="1"/>
    <col min="7206" max="7424" width="9.140625" style="401"/>
    <col min="7425" max="7433" width="0" style="401" hidden="1" customWidth="1"/>
    <col min="7434" max="7434" width="7.85546875" style="401" customWidth="1"/>
    <col min="7435" max="7435" width="33.28515625" style="401" customWidth="1"/>
    <col min="7436" max="7437" width="5.42578125" style="401" customWidth="1"/>
    <col min="7438" max="7438" width="12.5703125" style="401" customWidth="1"/>
    <col min="7439" max="7439" width="0" style="401" hidden="1" customWidth="1"/>
    <col min="7440" max="7440" width="5" style="401" customWidth="1"/>
    <col min="7441" max="7448" width="0" style="401" hidden="1" customWidth="1"/>
    <col min="7449" max="7449" width="10.7109375" style="401" customWidth="1"/>
    <col min="7450" max="7450" width="9.28515625" style="401" customWidth="1"/>
    <col min="7451" max="7451" width="9.7109375" style="401" customWidth="1"/>
    <col min="7452" max="7452" width="10" style="401" customWidth="1"/>
    <col min="7453" max="7455" width="9.5703125" style="401" customWidth="1"/>
    <col min="7456" max="7458" width="8.85546875" style="401" customWidth="1"/>
    <col min="7459" max="7461" width="3.28515625" style="401" customWidth="1"/>
    <col min="7462" max="7680" width="9.140625" style="401"/>
    <col min="7681" max="7689" width="0" style="401" hidden="1" customWidth="1"/>
    <col min="7690" max="7690" width="7.85546875" style="401" customWidth="1"/>
    <col min="7691" max="7691" width="33.28515625" style="401" customWidth="1"/>
    <col min="7692" max="7693" width="5.42578125" style="401" customWidth="1"/>
    <col min="7694" max="7694" width="12.5703125" style="401" customWidth="1"/>
    <col min="7695" max="7695" width="0" style="401" hidden="1" customWidth="1"/>
    <col min="7696" max="7696" width="5" style="401" customWidth="1"/>
    <col min="7697" max="7704" width="0" style="401" hidden="1" customWidth="1"/>
    <col min="7705" max="7705" width="10.7109375" style="401" customWidth="1"/>
    <col min="7706" max="7706" width="9.28515625" style="401" customWidth="1"/>
    <col min="7707" max="7707" width="9.7109375" style="401" customWidth="1"/>
    <col min="7708" max="7708" width="10" style="401" customWidth="1"/>
    <col min="7709" max="7711" width="9.5703125" style="401" customWidth="1"/>
    <col min="7712" max="7714" width="8.85546875" style="401" customWidth="1"/>
    <col min="7715" max="7717" width="3.28515625" style="401" customWidth="1"/>
    <col min="7718" max="7936" width="9.140625" style="401"/>
    <col min="7937" max="7945" width="0" style="401" hidden="1" customWidth="1"/>
    <col min="7946" max="7946" width="7.85546875" style="401" customWidth="1"/>
    <col min="7947" max="7947" width="33.28515625" style="401" customWidth="1"/>
    <col min="7948" max="7949" width="5.42578125" style="401" customWidth="1"/>
    <col min="7950" max="7950" width="12.5703125" style="401" customWidth="1"/>
    <col min="7951" max="7951" width="0" style="401" hidden="1" customWidth="1"/>
    <col min="7952" max="7952" width="5" style="401" customWidth="1"/>
    <col min="7953" max="7960" width="0" style="401" hidden="1" customWidth="1"/>
    <col min="7961" max="7961" width="10.7109375" style="401" customWidth="1"/>
    <col min="7962" max="7962" width="9.28515625" style="401" customWidth="1"/>
    <col min="7963" max="7963" width="9.7109375" style="401" customWidth="1"/>
    <col min="7964" max="7964" width="10" style="401" customWidth="1"/>
    <col min="7965" max="7967" width="9.5703125" style="401" customWidth="1"/>
    <col min="7968" max="7970" width="8.85546875" style="401" customWidth="1"/>
    <col min="7971" max="7973" width="3.28515625" style="401" customWidth="1"/>
    <col min="7974" max="8192" width="9.140625" style="401"/>
    <col min="8193" max="8201" width="0" style="401" hidden="1" customWidth="1"/>
    <col min="8202" max="8202" width="7.85546875" style="401" customWidth="1"/>
    <col min="8203" max="8203" width="33.28515625" style="401" customWidth="1"/>
    <col min="8204" max="8205" width="5.42578125" style="401" customWidth="1"/>
    <col min="8206" max="8206" width="12.5703125" style="401" customWidth="1"/>
    <col min="8207" max="8207" width="0" style="401" hidden="1" customWidth="1"/>
    <col min="8208" max="8208" width="5" style="401" customWidth="1"/>
    <col min="8209" max="8216" width="0" style="401" hidden="1" customWidth="1"/>
    <col min="8217" max="8217" width="10.7109375" style="401" customWidth="1"/>
    <col min="8218" max="8218" width="9.28515625" style="401" customWidth="1"/>
    <col min="8219" max="8219" width="9.7109375" style="401" customWidth="1"/>
    <col min="8220" max="8220" width="10" style="401" customWidth="1"/>
    <col min="8221" max="8223" width="9.5703125" style="401" customWidth="1"/>
    <col min="8224" max="8226" width="8.85546875" style="401" customWidth="1"/>
    <col min="8227" max="8229" width="3.28515625" style="401" customWidth="1"/>
    <col min="8230" max="8448" width="9.140625" style="401"/>
    <col min="8449" max="8457" width="0" style="401" hidden="1" customWidth="1"/>
    <col min="8458" max="8458" width="7.85546875" style="401" customWidth="1"/>
    <col min="8459" max="8459" width="33.28515625" style="401" customWidth="1"/>
    <col min="8460" max="8461" width="5.42578125" style="401" customWidth="1"/>
    <col min="8462" max="8462" width="12.5703125" style="401" customWidth="1"/>
    <col min="8463" max="8463" width="0" style="401" hidden="1" customWidth="1"/>
    <col min="8464" max="8464" width="5" style="401" customWidth="1"/>
    <col min="8465" max="8472" width="0" style="401" hidden="1" customWidth="1"/>
    <col min="8473" max="8473" width="10.7109375" style="401" customWidth="1"/>
    <col min="8474" max="8474" width="9.28515625" style="401" customWidth="1"/>
    <col min="8475" max="8475" width="9.7109375" style="401" customWidth="1"/>
    <col min="8476" max="8476" width="10" style="401" customWidth="1"/>
    <col min="8477" max="8479" width="9.5703125" style="401" customWidth="1"/>
    <col min="8480" max="8482" width="8.85546875" style="401" customWidth="1"/>
    <col min="8483" max="8485" width="3.28515625" style="401" customWidth="1"/>
    <col min="8486" max="8704" width="9.140625" style="401"/>
    <col min="8705" max="8713" width="0" style="401" hidden="1" customWidth="1"/>
    <col min="8714" max="8714" width="7.85546875" style="401" customWidth="1"/>
    <col min="8715" max="8715" width="33.28515625" style="401" customWidth="1"/>
    <col min="8716" max="8717" width="5.42578125" style="401" customWidth="1"/>
    <col min="8718" max="8718" width="12.5703125" style="401" customWidth="1"/>
    <col min="8719" max="8719" width="0" style="401" hidden="1" customWidth="1"/>
    <col min="8720" max="8720" width="5" style="401" customWidth="1"/>
    <col min="8721" max="8728" width="0" style="401" hidden="1" customWidth="1"/>
    <col min="8729" max="8729" width="10.7109375" style="401" customWidth="1"/>
    <col min="8730" max="8730" width="9.28515625" style="401" customWidth="1"/>
    <col min="8731" max="8731" width="9.7109375" style="401" customWidth="1"/>
    <col min="8732" max="8732" width="10" style="401" customWidth="1"/>
    <col min="8733" max="8735" width="9.5703125" style="401" customWidth="1"/>
    <col min="8736" max="8738" width="8.85546875" style="401" customWidth="1"/>
    <col min="8739" max="8741" width="3.28515625" style="401" customWidth="1"/>
    <col min="8742" max="8960" width="9.140625" style="401"/>
    <col min="8961" max="8969" width="0" style="401" hidden="1" customWidth="1"/>
    <col min="8970" max="8970" width="7.85546875" style="401" customWidth="1"/>
    <col min="8971" max="8971" width="33.28515625" style="401" customWidth="1"/>
    <col min="8972" max="8973" width="5.42578125" style="401" customWidth="1"/>
    <col min="8974" max="8974" width="12.5703125" style="401" customWidth="1"/>
    <col min="8975" max="8975" width="0" style="401" hidden="1" customWidth="1"/>
    <col min="8976" max="8976" width="5" style="401" customWidth="1"/>
    <col min="8977" max="8984" width="0" style="401" hidden="1" customWidth="1"/>
    <col min="8985" max="8985" width="10.7109375" style="401" customWidth="1"/>
    <col min="8986" max="8986" width="9.28515625" style="401" customWidth="1"/>
    <col min="8987" max="8987" width="9.7109375" style="401" customWidth="1"/>
    <col min="8988" max="8988" width="10" style="401" customWidth="1"/>
    <col min="8989" max="8991" width="9.5703125" style="401" customWidth="1"/>
    <col min="8992" max="8994" width="8.85546875" style="401" customWidth="1"/>
    <col min="8995" max="8997" width="3.28515625" style="401" customWidth="1"/>
    <col min="8998" max="9216" width="9.140625" style="401"/>
    <col min="9217" max="9225" width="0" style="401" hidden="1" customWidth="1"/>
    <col min="9226" max="9226" width="7.85546875" style="401" customWidth="1"/>
    <col min="9227" max="9227" width="33.28515625" style="401" customWidth="1"/>
    <col min="9228" max="9229" width="5.42578125" style="401" customWidth="1"/>
    <col min="9230" max="9230" width="12.5703125" style="401" customWidth="1"/>
    <col min="9231" max="9231" width="0" style="401" hidden="1" customWidth="1"/>
    <col min="9232" max="9232" width="5" style="401" customWidth="1"/>
    <col min="9233" max="9240" width="0" style="401" hidden="1" customWidth="1"/>
    <col min="9241" max="9241" width="10.7109375" style="401" customWidth="1"/>
    <col min="9242" max="9242" width="9.28515625" style="401" customWidth="1"/>
    <col min="9243" max="9243" width="9.7109375" style="401" customWidth="1"/>
    <col min="9244" max="9244" width="10" style="401" customWidth="1"/>
    <col min="9245" max="9247" width="9.5703125" style="401" customWidth="1"/>
    <col min="9248" max="9250" width="8.85546875" style="401" customWidth="1"/>
    <col min="9251" max="9253" width="3.28515625" style="401" customWidth="1"/>
    <col min="9254" max="9472" width="9.140625" style="401"/>
    <col min="9473" max="9481" width="0" style="401" hidden="1" customWidth="1"/>
    <col min="9482" max="9482" width="7.85546875" style="401" customWidth="1"/>
    <col min="9483" max="9483" width="33.28515625" style="401" customWidth="1"/>
    <col min="9484" max="9485" width="5.42578125" style="401" customWidth="1"/>
    <col min="9486" max="9486" width="12.5703125" style="401" customWidth="1"/>
    <col min="9487" max="9487" width="0" style="401" hidden="1" customWidth="1"/>
    <col min="9488" max="9488" width="5" style="401" customWidth="1"/>
    <col min="9489" max="9496" width="0" style="401" hidden="1" customWidth="1"/>
    <col min="9497" max="9497" width="10.7109375" style="401" customWidth="1"/>
    <col min="9498" max="9498" width="9.28515625" style="401" customWidth="1"/>
    <col min="9499" max="9499" width="9.7109375" style="401" customWidth="1"/>
    <col min="9500" max="9500" width="10" style="401" customWidth="1"/>
    <col min="9501" max="9503" width="9.5703125" style="401" customWidth="1"/>
    <col min="9504" max="9506" width="8.85546875" style="401" customWidth="1"/>
    <col min="9507" max="9509" width="3.28515625" style="401" customWidth="1"/>
    <col min="9510" max="9728" width="9.140625" style="401"/>
    <col min="9729" max="9737" width="0" style="401" hidden="1" customWidth="1"/>
    <col min="9738" max="9738" width="7.85546875" style="401" customWidth="1"/>
    <col min="9739" max="9739" width="33.28515625" style="401" customWidth="1"/>
    <col min="9740" max="9741" width="5.42578125" style="401" customWidth="1"/>
    <col min="9742" max="9742" width="12.5703125" style="401" customWidth="1"/>
    <col min="9743" max="9743" width="0" style="401" hidden="1" customWidth="1"/>
    <col min="9744" max="9744" width="5" style="401" customWidth="1"/>
    <col min="9745" max="9752" width="0" style="401" hidden="1" customWidth="1"/>
    <col min="9753" max="9753" width="10.7109375" style="401" customWidth="1"/>
    <col min="9754" max="9754" width="9.28515625" style="401" customWidth="1"/>
    <col min="9755" max="9755" width="9.7109375" style="401" customWidth="1"/>
    <col min="9756" max="9756" width="10" style="401" customWidth="1"/>
    <col min="9757" max="9759" width="9.5703125" style="401" customWidth="1"/>
    <col min="9760" max="9762" width="8.85546875" style="401" customWidth="1"/>
    <col min="9763" max="9765" width="3.28515625" style="401" customWidth="1"/>
    <col min="9766" max="9984" width="9.140625" style="401"/>
    <col min="9985" max="9993" width="0" style="401" hidden="1" customWidth="1"/>
    <col min="9994" max="9994" width="7.85546875" style="401" customWidth="1"/>
    <col min="9995" max="9995" width="33.28515625" style="401" customWidth="1"/>
    <col min="9996" max="9997" width="5.42578125" style="401" customWidth="1"/>
    <col min="9998" max="9998" width="12.5703125" style="401" customWidth="1"/>
    <col min="9999" max="9999" width="0" style="401" hidden="1" customWidth="1"/>
    <col min="10000" max="10000" width="5" style="401" customWidth="1"/>
    <col min="10001" max="10008" width="0" style="401" hidden="1" customWidth="1"/>
    <col min="10009" max="10009" width="10.7109375" style="401" customWidth="1"/>
    <col min="10010" max="10010" width="9.28515625" style="401" customWidth="1"/>
    <col min="10011" max="10011" width="9.7109375" style="401" customWidth="1"/>
    <col min="10012" max="10012" width="10" style="401" customWidth="1"/>
    <col min="10013" max="10015" width="9.5703125" style="401" customWidth="1"/>
    <col min="10016" max="10018" width="8.85546875" style="401" customWidth="1"/>
    <col min="10019" max="10021" width="3.28515625" style="401" customWidth="1"/>
    <col min="10022" max="10240" width="9.140625" style="401"/>
    <col min="10241" max="10249" width="0" style="401" hidden="1" customWidth="1"/>
    <col min="10250" max="10250" width="7.85546875" style="401" customWidth="1"/>
    <col min="10251" max="10251" width="33.28515625" style="401" customWidth="1"/>
    <col min="10252" max="10253" width="5.42578125" style="401" customWidth="1"/>
    <col min="10254" max="10254" width="12.5703125" style="401" customWidth="1"/>
    <col min="10255" max="10255" width="0" style="401" hidden="1" customWidth="1"/>
    <col min="10256" max="10256" width="5" style="401" customWidth="1"/>
    <col min="10257" max="10264" width="0" style="401" hidden="1" customWidth="1"/>
    <col min="10265" max="10265" width="10.7109375" style="401" customWidth="1"/>
    <col min="10266" max="10266" width="9.28515625" style="401" customWidth="1"/>
    <col min="10267" max="10267" width="9.7109375" style="401" customWidth="1"/>
    <col min="10268" max="10268" width="10" style="401" customWidth="1"/>
    <col min="10269" max="10271" width="9.5703125" style="401" customWidth="1"/>
    <col min="10272" max="10274" width="8.85546875" style="401" customWidth="1"/>
    <col min="10275" max="10277" width="3.28515625" style="401" customWidth="1"/>
    <col min="10278" max="10496" width="9.140625" style="401"/>
    <col min="10497" max="10505" width="0" style="401" hidden="1" customWidth="1"/>
    <col min="10506" max="10506" width="7.85546875" style="401" customWidth="1"/>
    <col min="10507" max="10507" width="33.28515625" style="401" customWidth="1"/>
    <col min="10508" max="10509" width="5.42578125" style="401" customWidth="1"/>
    <col min="10510" max="10510" width="12.5703125" style="401" customWidth="1"/>
    <col min="10511" max="10511" width="0" style="401" hidden="1" customWidth="1"/>
    <col min="10512" max="10512" width="5" style="401" customWidth="1"/>
    <col min="10513" max="10520" width="0" style="401" hidden="1" customWidth="1"/>
    <col min="10521" max="10521" width="10.7109375" style="401" customWidth="1"/>
    <col min="10522" max="10522" width="9.28515625" style="401" customWidth="1"/>
    <col min="10523" max="10523" width="9.7109375" style="401" customWidth="1"/>
    <col min="10524" max="10524" width="10" style="401" customWidth="1"/>
    <col min="10525" max="10527" width="9.5703125" style="401" customWidth="1"/>
    <col min="10528" max="10530" width="8.85546875" style="401" customWidth="1"/>
    <col min="10531" max="10533" width="3.28515625" style="401" customWidth="1"/>
    <col min="10534" max="10752" width="9.140625" style="401"/>
    <col min="10753" max="10761" width="0" style="401" hidden="1" customWidth="1"/>
    <col min="10762" max="10762" width="7.85546875" style="401" customWidth="1"/>
    <col min="10763" max="10763" width="33.28515625" style="401" customWidth="1"/>
    <col min="10764" max="10765" width="5.42578125" style="401" customWidth="1"/>
    <col min="10766" max="10766" width="12.5703125" style="401" customWidth="1"/>
    <col min="10767" max="10767" width="0" style="401" hidden="1" customWidth="1"/>
    <col min="10768" max="10768" width="5" style="401" customWidth="1"/>
    <col min="10769" max="10776" width="0" style="401" hidden="1" customWidth="1"/>
    <col min="10777" max="10777" width="10.7109375" style="401" customWidth="1"/>
    <col min="10778" max="10778" width="9.28515625" style="401" customWidth="1"/>
    <col min="10779" max="10779" width="9.7109375" style="401" customWidth="1"/>
    <col min="10780" max="10780" width="10" style="401" customWidth="1"/>
    <col min="10781" max="10783" width="9.5703125" style="401" customWidth="1"/>
    <col min="10784" max="10786" width="8.85546875" style="401" customWidth="1"/>
    <col min="10787" max="10789" width="3.28515625" style="401" customWidth="1"/>
    <col min="10790" max="11008" width="9.140625" style="401"/>
    <col min="11009" max="11017" width="0" style="401" hidden="1" customWidth="1"/>
    <col min="11018" max="11018" width="7.85546875" style="401" customWidth="1"/>
    <col min="11019" max="11019" width="33.28515625" style="401" customWidth="1"/>
    <col min="11020" max="11021" width="5.42578125" style="401" customWidth="1"/>
    <col min="11022" max="11022" width="12.5703125" style="401" customWidth="1"/>
    <col min="11023" max="11023" width="0" style="401" hidden="1" customWidth="1"/>
    <col min="11024" max="11024" width="5" style="401" customWidth="1"/>
    <col min="11025" max="11032" width="0" style="401" hidden="1" customWidth="1"/>
    <col min="11033" max="11033" width="10.7109375" style="401" customWidth="1"/>
    <col min="11034" max="11034" width="9.28515625" style="401" customWidth="1"/>
    <col min="11035" max="11035" width="9.7109375" style="401" customWidth="1"/>
    <col min="11036" max="11036" width="10" style="401" customWidth="1"/>
    <col min="11037" max="11039" width="9.5703125" style="401" customWidth="1"/>
    <col min="11040" max="11042" width="8.85546875" style="401" customWidth="1"/>
    <col min="11043" max="11045" width="3.28515625" style="401" customWidth="1"/>
    <col min="11046" max="11264" width="9.140625" style="401"/>
    <col min="11265" max="11273" width="0" style="401" hidden="1" customWidth="1"/>
    <col min="11274" max="11274" width="7.85546875" style="401" customWidth="1"/>
    <col min="11275" max="11275" width="33.28515625" style="401" customWidth="1"/>
    <col min="11276" max="11277" width="5.42578125" style="401" customWidth="1"/>
    <col min="11278" max="11278" width="12.5703125" style="401" customWidth="1"/>
    <col min="11279" max="11279" width="0" style="401" hidden="1" customWidth="1"/>
    <col min="11280" max="11280" width="5" style="401" customWidth="1"/>
    <col min="11281" max="11288" width="0" style="401" hidden="1" customWidth="1"/>
    <col min="11289" max="11289" width="10.7109375" style="401" customWidth="1"/>
    <col min="11290" max="11290" width="9.28515625" style="401" customWidth="1"/>
    <col min="11291" max="11291" width="9.7109375" style="401" customWidth="1"/>
    <col min="11292" max="11292" width="10" style="401" customWidth="1"/>
    <col min="11293" max="11295" width="9.5703125" style="401" customWidth="1"/>
    <col min="11296" max="11298" width="8.85546875" style="401" customWidth="1"/>
    <col min="11299" max="11301" width="3.28515625" style="401" customWidth="1"/>
    <col min="11302" max="11520" width="9.140625" style="401"/>
    <col min="11521" max="11529" width="0" style="401" hidden="1" customWidth="1"/>
    <col min="11530" max="11530" width="7.85546875" style="401" customWidth="1"/>
    <col min="11531" max="11531" width="33.28515625" style="401" customWidth="1"/>
    <col min="11532" max="11533" width="5.42578125" style="401" customWidth="1"/>
    <col min="11534" max="11534" width="12.5703125" style="401" customWidth="1"/>
    <col min="11535" max="11535" width="0" style="401" hidden="1" customWidth="1"/>
    <col min="11536" max="11536" width="5" style="401" customWidth="1"/>
    <col min="11537" max="11544" width="0" style="401" hidden="1" customWidth="1"/>
    <col min="11545" max="11545" width="10.7109375" style="401" customWidth="1"/>
    <col min="11546" max="11546" width="9.28515625" style="401" customWidth="1"/>
    <col min="11547" max="11547" width="9.7109375" style="401" customWidth="1"/>
    <col min="11548" max="11548" width="10" style="401" customWidth="1"/>
    <col min="11549" max="11551" width="9.5703125" style="401" customWidth="1"/>
    <col min="11552" max="11554" width="8.85546875" style="401" customWidth="1"/>
    <col min="11555" max="11557" width="3.28515625" style="401" customWidth="1"/>
    <col min="11558" max="11776" width="9.140625" style="401"/>
    <col min="11777" max="11785" width="0" style="401" hidden="1" customWidth="1"/>
    <col min="11786" max="11786" width="7.85546875" style="401" customWidth="1"/>
    <col min="11787" max="11787" width="33.28515625" style="401" customWidth="1"/>
    <col min="11788" max="11789" width="5.42578125" style="401" customWidth="1"/>
    <col min="11790" max="11790" width="12.5703125" style="401" customWidth="1"/>
    <col min="11791" max="11791" width="0" style="401" hidden="1" customWidth="1"/>
    <col min="11792" max="11792" width="5" style="401" customWidth="1"/>
    <col min="11793" max="11800" width="0" style="401" hidden="1" customWidth="1"/>
    <col min="11801" max="11801" width="10.7109375" style="401" customWidth="1"/>
    <col min="11802" max="11802" width="9.28515625" style="401" customWidth="1"/>
    <col min="11803" max="11803" width="9.7109375" style="401" customWidth="1"/>
    <col min="11804" max="11804" width="10" style="401" customWidth="1"/>
    <col min="11805" max="11807" width="9.5703125" style="401" customWidth="1"/>
    <col min="11808" max="11810" width="8.85546875" style="401" customWidth="1"/>
    <col min="11811" max="11813" width="3.28515625" style="401" customWidth="1"/>
    <col min="11814" max="12032" width="9.140625" style="401"/>
    <col min="12033" max="12041" width="0" style="401" hidden="1" customWidth="1"/>
    <col min="12042" max="12042" width="7.85546875" style="401" customWidth="1"/>
    <col min="12043" max="12043" width="33.28515625" style="401" customWidth="1"/>
    <col min="12044" max="12045" width="5.42578125" style="401" customWidth="1"/>
    <col min="12046" max="12046" width="12.5703125" style="401" customWidth="1"/>
    <col min="12047" max="12047" width="0" style="401" hidden="1" customWidth="1"/>
    <col min="12048" max="12048" width="5" style="401" customWidth="1"/>
    <col min="12049" max="12056" width="0" style="401" hidden="1" customWidth="1"/>
    <col min="12057" max="12057" width="10.7109375" style="401" customWidth="1"/>
    <col min="12058" max="12058" width="9.28515625" style="401" customWidth="1"/>
    <col min="12059" max="12059" width="9.7109375" style="401" customWidth="1"/>
    <col min="12060" max="12060" width="10" style="401" customWidth="1"/>
    <col min="12061" max="12063" width="9.5703125" style="401" customWidth="1"/>
    <col min="12064" max="12066" width="8.85546875" style="401" customWidth="1"/>
    <col min="12067" max="12069" width="3.28515625" style="401" customWidth="1"/>
    <col min="12070" max="12288" width="9.140625" style="401"/>
    <col min="12289" max="12297" width="0" style="401" hidden="1" customWidth="1"/>
    <col min="12298" max="12298" width="7.85546875" style="401" customWidth="1"/>
    <col min="12299" max="12299" width="33.28515625" style="401" customWidth="1"/>
    <col min="12300" max="12301" width="5.42578125" style="401" customWidth="1"/>
    <col min="12302" max="12302" width="12.5703125" style="401" customWidth="1"/>
    <col min="12303" max="12303" width="0" style="401" hidden="1" customWidth="1"/>
    <col min="12304" max="12304" width="5" style="401" customWidth="1"/>
    <col min="12305" max="12312" width="0" style="401" hidden="1" customWidth="1"/>
    <col min="12313" max="12313" width="10.7109375" style="401" customWidth="1"/>
    <col min="12314" max="12314" width="9.28515625" style="401" customWidth="1"/>
    <col min="12315" max="12315" width="9.7109375" style="401" customWidth="1"/>
    <col min="12316" max="12316" width="10" style="401" customWidth="1"/>
    <col min="12317" max="12319" width="9.5703125" style="401" customWidth="1"/>
    <col min="12320" max="12322" width="8.85546875" style="401" customWidth="1"/>
    <col min="12323" max="12325" width="3.28515625" style="401" customWidth="1"/>
    <col min="12326" max="12544" width="9.140625" style="401"/>
    <col min="12545" max="12553" width="0" style="401" hidden="1" customWidth="1"/>
    <col min="12554" max="12554" width="7.85546875" style="401" customWidth="1"/>
    <col min="12555" max="12555" width="33.28515625" style="401" customWidth="1"/>
    <col min="12556" max="12557" width="5.42578125" style="401" customWidth="1"/>
    <col min="12558" max="12558" width="12.5703125" style="401" customWidth="1"/>
    <col min="12559" max="12559" width="0" style="401" hidden="1" customWidth="1"/>
    <col min="12560" max="12560" width="5" style="401" customWidth="1"/>
    <col min="12561" max="12568" width="0" style="401" hidden="1" customWidth="1"/>
    <col min="12569" max="12569" width="10.7109375" style="401" customWidth="1"/>
    <col min="12570" max="12570" width="9.28515625" style="401" customWidth="1"/>
    <col min="12571" max="12571" width="9.7109375" style="401" customWidth="1"/>
    <col min="12572" max="12572" width="10" style="401" customWidth="1"/>
    <col min="12573" max="12575" width="9.5703125" style="401" customWidth="1"/>
    <col min="12576" max="12578" width="8.85546875" style="401" customWidth="1"/>
    <col min="12579" max="12581" width="3.28515625" style="401" customWidth="1"/>
    <col min="12582" max="12800" width="9.140625" style="401"/>
    <col min="12801" max="12809" width="0" style="401" hidden="1" customWidth="1"/>
    <col min="12810" max="12810" width="7.85546875" style="401" customWidth="1"/>
    <col min="12811" max="12811" width="33.28515625" style="401" customWidth="1"/>
    <col min="12812" max="12813" width="5.42578125" style="401" customWidth="1"/>
    <col min="12814" max="12814" width="12.5703125" style="401" customWidth="1"/>
    <col min="12815" max="12815" width="0" style="401" hidden="1" customWidth="1"/>
    <col min="12816" max="12816" width="5" style="401" customWidth="1"/>
    <col min="12817" max="12824" width="0" style="401" hidden="1" customWidth="1"/>
    <col min="12825" max="12825" width="10.7109375" style="401" customWidth="1"/>
    <col min="12826" max="12826" width="9.28515625" style="401" customWidth="1"/>
    <col min="12827" max="12827" width="9.7109375" style="401" customWidth="1"/>
    <col min="12828" max="12828" width="10" style="401" customWidth="1"/>
    <col min="12829" max="12831" width="9.5703125" style="401" customWidth="1"/>
    <col min="12832" max="12834" width="8.85546875" style="401" customWidth="1"/>
    <col min="12835" max="12837" width="3.28515625" style="401" customWidth="1"/>
    <col min="12838" max="13056" width="9.140625" style="401"/>
    <col min="13057" max="13065" width="0" style="401" hidden="1" customWidth="1"/>
    <col min="13066" max="13066" width="7.85546875" style="401" customWidth="1"/>
    <col min="13067" max="13067" width="33.28515625" style="401" customWidth="1"/>
    <col min="13068" max="13069" width="5.42578125" style="401" customWidth="1"/>
    <col min="13070" max="13070" width="12.5703125" style="401" customWidth="1"/>
    <col min="13071" max="13071" width="0" style="401" hidden="1" customWidth="1"/>
    <col min="13072" max="13072" width="5" style="401" customWidth="1"/>
    <col min="13073" max="13080" width="0" style="401" hidden="1" customWidth="1"/>
    <col min="13081" max="13081" width="10.7109375" style="401" customWidth="1"/>
    <col min="13082" max="13082" width="9.28515625" style="401" customWidth="1"/>
    <col min="13083" max="13083" width="9.7109375" style="401" customWidth="1"/>
    <col min="13084" max="13084" width="10" style="401" customWidth="1"/>
    <col min="13085" max="13087" width="9.5703125" style="401" customWidth="1"/>
    <col min="13088" max="13090" width="8.85546875" style="401" customWidth="1"/>
    <col min="13091" max="13093" width="3.28515625" style="401" customWidth="1"/>
    <col min="13094" max="13312" width="9.140625" style="401"/>
    <col min="13313" max="13321" width="0" style="401" hidden="1" customWidth="1"/>
    <col min="13322" max="13322" width="7.85546875" style="401" customWidth="1"/>
    <col min="13323" max="13323" width="33.28515625" style="401" customWidth="1"/>
    <col min="13324" max="13325" width="5.42578125" style="401" customWidth="1"/>
    <col min="13326" max="13326" width="12.5703125" style="401" customWidth="1"/>
    <col min="13327" max="13327" width="0" style="401" hidden="1" customWidth="1"/>
    <col min="13328" max="13328" width="5" style="401" customWidth="1"/>
    <col min="13329" max="13336" width="0" style="401" hidden="1" customWidth="1"/>
    <col min="13337" max="13337" width="10.7109375" style="401" customWidth="1"/>
    <col min="13338" max="13338" width="9.28515625" style="401" customWidth="1"/>
    <col min="13339" max="13339" width="9.7109375" style="401" customWidth="1"/>
    <col min="13340" max="13340" width="10" style="401" customWidth="1"/>
    <col min="13341" max="13343" width="9.5703125" style="401" customWidth="1"/>
    <col min="13344" max="13346" width="8.85546875" style="401" customWidth="1"/>
    <col min="13347" max="13349" width="3.28515625" style="401" customWidth="1"/>
    <col min="13350" max="13568" width="9.140625" style="401"/>
    <col min="13569" max="13577" width="0" style="401" hidden="1" customWidth="1"/>
    <col min="13578" max="13578" width="7.85546875" style="401" customWidth="1"/>
    <col min="13579" max="13579" width="33.28515625" style="401" customWidth="1"/>
    <col min="13580" max="13581" width="5.42578125" style="401" customWidth="1"/>
    <col min="13582" max="13582" width="12.5703125" style="401" customWidth="1"/>
    <col min="13583" max="13583" width="0" style="401" hidden="1" customWidth="1"/>
    <col min="13584" max="13584" width="5" style="401" customWidth="1"/>
    <col min="13585" max="13592" width="0" style="401" hidden="1" customWidth="1"/>
    <col min="13593" max="13593" width="10.7109375" style="401" customWidth="1"/>
    <col min="13594" max="13594" width="9.28515625" style="401" customWidth="1"/>
    <col min="13595" max="13595" width="9.7109375" style="401" customWidth="1"/>
    <col min="13596" max="13596" width="10" style="401" customWidth="1"/>
    <col min="13597" max="13599" width="9.5703125" style="401" customWidth="1"/>
    <col min="13600" max="13602" width="8.85546875" style="401" customWidth="1"/>
    <col min="13603" max="13605" width="3.28515625" style="401" customWidth="1"/>
    <col min="13606" max="13824" width="9.140625" style="401"/>
    <col min="13825" max="13833" width="0" style="401" hidden="1" customWidth="1"/>
    <col min="13834" max="13834" width="7.85546875" style="401" customWidth="1"/>
    <col min="13835" max="13835" width="33.28515625" style="401" customWidth="1"/>
    <col min="13836" max="13837" width="5.42578125" style="401" customWidth="1"/>
    <col min="13838" max="13838" width="12.5703125" style="401" customWidth="1"/>
    <col min="13839" max="13839" width="0" style="401" hidden="1" customWidth="1"/>
    <col min="13840" max="13840" width="5" style="401" customWidth="1"/>
    <col min="13841" max="13848" width="0" style="401" hidden="1" customWidth="1"/>
    <col min="13849" max="13849" width="10.7109375" style="401" customWidth="1"/>
    <col min="13850" max="13850" width="9.28515625" style="401" customWidth="1"/>
    <col min="13851" max="13851" width="9.7109375" style="401" customWidth="1"/>
    <col min="13852" max="13852" width="10" style="401" customWidth="1"/>
    <col min="13853" max="13855" width="9.5703125" style="401" customWidth="1"/>
    <col min="13856" max="13858" width="8.85546875" style="401" customWidth="1"/>
    <col min="13859" max="13861" width="3.28515625" style="401" customWidth="1"/>
    <col min="13862" max="14080" width="9.140625" style="401"/>
    <col min="14081" max="14089" width="0" style="401" hidden="1" customWidth="1"/>
    <col min="14090" max="14090" width="7.85546875" style="401" customWidth="1"/>
    <col min="14091" max="14091" width="33.28515625" style="401" customWidth="1"/>
    <col min="14092" max="14093" width="5.42578125" style="401" customWidth="1"/>
    <col min="14094" max="14094" width="12.5703125" style="401" customWidth="1"/>
    <col min="14095" max="14095" width="0" style="401" hidden="1" customWidth="1"/>
    <col min="14096" max="14096" width="5" style="401" customWidth="1"/>
    <col min="14097" max="14104" width="0" style="401" hidden="1" customWidth="1"/>
    <col min="14105" max="14105" width="10.7109375" style="401" customWidth="1"/>
    <col min="14106" max="14106" width="9.28515625" style="401" customWidth="1"/>
    <col min="14107" max="14107" width="9.7109375" style="401" customWidth="1"/>
    <col min="14108" max="14108" width="10" style="401" customWidth="1"/>
    <col min="14109" max="14111" width="9.5703125" style="401" customWidth="1"/>
    <col min="14112" max="14114" width="8.85546875" style="401" customWidth="1"/>
    <col min="14115" max="14117" width="3.28515625" style="401" customWidth="1"/>
    <col min="14118" max="14336" width="9.140625" style="401"/>
    <col min="14337" max="14345" width="0" style="401" hidden="1" customWidth="1"/>
    <col min="14346" max="14346" width="7.85546875" style="401" customWidth="1"/>
    <col min="14347" max="14347" width="33.28515625" style="401" customWidth="1"/>
    <col min="14348" max="14349" width="5.42578125" style="401" customWidth="1"/>
    <col min="14350" max="14350" width="12.5703125" style="401" customWidth="1"/>
    <col min="14351" max="14351" width="0" style="401" hidden="1" customWidth="1"/>
    <col min="14352" max="14352" width="5" style="401" customWidth="1"/>
    <col min="14353" max="14360" width="0" style="401" hidden="1" customWidth="1"/>
    <col min="14361" max="14361" width="10.7109375" style="401" customWidth="1"/>
    <col min="14362" max="14362" width="9.28515625" style="401" customWidth="1"/>
    <col min="14363" max="14363" width="9.7109375" style="401" customWidth="1"/>
    <col min="14364" max="14364" width="10" style="401" customWidth="1"/>
    <col min="14365" max="14367" width="9.5703125" style="401" customWidth="1"/>
    <col min="14368" max="14370" width="8.85546875" style="401" customWidth="1"/>
    <col min="14371" max="14373" width="3.28515625" style="401" customWidth="1"/>
    <col min="14374" max="14592" width="9.140625" style="401"/>
    <col min="14593" max="14601" width="0" style="401" hidden="1" customWidth="1"/>
    <col min="14602" max="14602" width="7.85546875" style="401" customWidth="1"/>
    <col min="14603" max="14603" width="33.28515625" style="401" customWidth="1"/>
    <col min="14604" max="14605" width="5.42578125" style="401" customWidth="1"/>
    <col min="14606" max="14606" width="12.5703125" style="401" customWidth="1"/>
    <col min="14607" max="14607" width="0" style="401" hidden="1" customWidth="1"/>
    <col min="14608" max="14608" width="5" style="401" customWidth="1"/>
    <col min="14609" max="14616" width="0" style="401" hidden="1" customWidth="1"/>
    <col min="14617" max="14617" width="10.7109375" style="401" customWidth="1"/>
    <col min="14618" max="14618" width="9.28515625" style="401" customWidth="1"/>
    <col min="14619" max="14619" width="9.7109375" style="401" customWidth="1"/>
    <col min="14620" max="14620" width="10" style="401" customWidth="1"/>
    <col min="14621" max="14623" width="9.5703125" style="401" customWidth="1"/>
    <col min="14624" max="14626" width="8.85546875" style="401" customWidth="1"/>
    <col min="14627" max="14629" width="3.28515625" style="401" customWidth="1"/>
    <col min="14630" max="14848" width="9.140625" style="401"/>
    <col min="14849" max="14857" width="0" style="401" hidden="1" customWidth="1"/>
    <col min="14858" max="14858" width="7.85546875" style="401" customWidth="1"/>
    <col min="14859" max="14859" width="33.28515625" style="401" customWidth="1"/>
    <col min="14860" max="14861" width="5.42578125" style="401" customWidth="1"/>
    <col min="14862" max="14862" width="12.5703125" style="401" customWidth="1"/>
    <col min="14863" max="14863" width="0" style="401" hidden="1" customWidth="1"/>
    <col min="14864" max="14864" width="5" style="401" customWidth="1"/>
    <col min="14865" max="14872" width="0" style="401" hidden="1" customWidth="1"/>
    <col min="14873" max="14873" width="10.7109375" style="401" customWidth="1"/>
    <col min="14874" max="14874" width="9.28515625" style="401" customWidth="1"/>
    <col min="14875" max="14875" width="9.7109375" style="401" customWidth="1"/>
    <col min="14876" max="14876" width="10" style="401" customWidth="1"/>
    <col min="14877" max="14879" width="9.5703125" style="401" customWidth="1"/>
    <col min="14880" max="14882" width="8.85546875" style="401" customWidth="1"/>
    <col min="14883" max="14885" width="3.28515625" style="401" customWidth="1"/>
    <col min="14886" max="15104" width="9.140625" style="401"/>
    <col min="15105" max="15113" width="0" style="401" hidden="1" customWidth="1"/>
    <col min="15114" max="15114" width="7.85546875" style="401" customWidth="1"/>
    <col min="15115" max="15115" width="33.28515625" style="401" customWidth="1"/>
    <col min="15116" max="15117" width="5.42578125" style="401" customWidth="1"/>
    <col min="15118" max="15118" width="12.5703125" style="401" customWidth="1"/>
    <col min="15119" max="15119" width="0" style="401" hidden="1" customWidth="1"/>
    <col min="15120" max="15120" width="5" style="401" customWidth="1"/>
    <col min="15121" max="15128" width="0" style="401" hidden="1" customWidth="1"/>
    <col min="15129" max="15129" width="10.7109375" style="401" customWidth="1"/>
    <col min="15130" max="15130" width="9.28515625" style="401" customWidth="1"/>
    <col min="15131" max="15131" width="9.7109375" style="401" customWidth="1"/>
    <col min="15132" max="15132" width="10" style="401" customWidth="1"/>
    <col min="15133" max="15135" width="9.5703125" style="401" customWidth="1"/>
    <col min="15136" max="15138" width="8.85546875" style="401" customWidth="1"/>
    <col min="15139" max="15141" width="3.28515625" style="401" customWidth="1"/>
    <col min="15142" max="15360" width="9.140625" style="401"/>
    <col min="15361" max="15369" width="0" style="401" hidden="1" customWidth="1"/>
    <col min="15370" max="15370" width="7.85546875" style="401" customWidth="1"/>
    <col min="15371" max="15371" width="33.28515625" style="401" customWidth="1"/>
    <col min="15372" max="15373" width="5.42578125" style="401" customWidth="1"/>
    <col min="15374" max="15374" width="12.5703125" style="401" customWidth="1"/>
    <col min="15375" max="15375" width="0" style="401" hidden="1" customWidth="1"/>
    <col min="15376" max="15376" width="5" style="401" customWidth="1"/>
    <col min="15377" max="15384" width="0" style="401" hidden="1" customWidth="1"/>
    <col min="15385" max="15385" width="10.7109375" style="401" customWidth="1"/>
    <col min="15386" max="15386" width="9.28515625" style="401" customWidth="1"/>
    <col min="15387" max="15387" width="9.7109375" style="401" customWidth="1"/>
    <col min="15388" max="15388" width="10" style="401" customWidth="1"/>
    <col min="15389" max="15391" width="9.5703125" style="401" customWidth="1"/>
    <col min="15392" max="15394" width="8.85546875" style="401" customWidth="1"/>
    <col min="15395" max="15397" width="3.28515625" style="401" customWidth="1"/>
    <col min="15398" max="15616" width="9.140625" style="401"/>
    <col min="15617" max="15625" width="0" style="401" hidden="1" customWidth="1"/>
    <col min="15626" max="15626" width="7.85546875" style="401" customWidth="1"/>
    <col min="15627" max="15627" width="33.28515625" style="401" customWidth="1"/>
    <col min="15628" max="15629" width="5.42578125" style="401" customWidth="1"/>
    <col min="15630" max="15630" width="12.5703125" style="401" customWidth="1"/>
    <col min="15631" max="15631" width="0" style="401" hidden="1" customWidth="1"/>
    <col min="15632" max="15632" width="5" style="401" customWidth="1"/>
    <col min="15633" max="15640" width="0" style="401" hidden="1" customWidth="1"/>
    <col min="15641" max="15641" width="10.7109375" style="401" customWidth="1"/>
    <col min="15642" max="15642" width="9.28515625" style="401" customWidth="1"/>
    <col min="15643" max="15643" width="9.7109375" style="401" customWidth="1"/>
    <col min="15644" max="15644" width="10" style="401" customWidth="1"/>
    <col min="15645" max="15647" width="9.5703125" style="401" customWidth="1"/>
    <col min="15648" max="15650" width="8.85546875" style="401" customWidth="1"/>
    <col min="15651" max="15653" width="3.28515625" style="401" customWidth="1"/>
    <col min="15654" max="15872" width="9.140625" style="401"/>
    <col min="15873" max="15881" width="0" style="401" hidden="1" customWidth="1"/>
    <col min="15882" max="15882" width="7.85546875" style="401" customWidth="1"/>
    <col min="15883" max="15883" width="33.28515625" style="401" customWidth="1"/>
    <col min="15884" max="15885" width="5.42578125" style="401" customWidth="1"/>
    <col min="15886" max="15886" width="12.5703125" style="401" customWidth="1"/>
    <col min="15887" max="15887" width="0" style="401" hidden="1" customWidth="1"/>
    <col min="15888" max="15888" width="5" style="401" customWidth="1"/>
    <col min="15889" max="15896" width="0" style="401" hidden="1" customWidth="1"/>
    <col min="15897" max="15897" width="10.7109375" style="401" customWidth="1"/>
    <col min="15898" max="15898" width="9.28515625" style="401" customWidth="1"/>
    <col min="15899" max="15899" width="9.7109375" style="401" customWidth="1"/>
    <col min="15900" max="15900" width="10" style="401" customWidth="1"/>
    <col min="15901" max="15903" width="9.5703125" style="401" customWidth="1"/>
    <col min="15904" max="15906" width="8.85546875" style="401" customWidth="1"/>
    <col min="15907" max="15909" width="3.28515625" style="401" customWidth="1"/>
    <col min="15910" max="16128" width="9.140625" style="401"/>
    <col min="16129" max="16137" width="0" style="401" hidden="1" customWidth="1"/>
    <col min="16138" max="16138" width="7.85546875" style="401" customWidth="1"/>
    <col min="16139" max="16139" width="33.28515625" style="401" customWidth="1"/>
    <col min="16140" max="16141" width="5.42578125" style="401" customWidth="1"/>
    <col min="16142" max="16142" width="12.5703125" style="401" customWidth="1"/>
    <col min="16143" max="16143" width="0" style="401" hidden="1" customWidth="1"/>
    <col min="16144" max="16144" width="5" style="401" customWidth="1"/>
    <col min="16145" max="16152" width="0" style="401" hidden="1" customWidth="1"/>
    <col min="16153" max="16153" width="10.7109375" style="401" customWidth="1"/>
    <col min="16154" max="16154" width="9.28515625" style="401" customWidth="1"/>
    <col min="16155" max="16155" width="9.7109375" style="401" customWidth="1"/>
    <col min="16156" max="16156" width="10" style="401" customWidth="1"/>
    <col min="16157" max="16159" width="9.5703125" style="401" customWidth="1"/>
    <col min="16160" max="16162" width="8.85546875" style="401" customWidth="1"/>
    <col min="16163" max="16165" width="3.28515625" style="401" customWidth="1"/>
    <col min="16166" max="16384" width="9.140625" style="401"/>
  </cols>
  <sheetData>
    <row r="1" spans="1:37" ht="19.899999999999999" customHeight="1" x14ac:dyDescent="0.25">
      <c r="A1" s="566"/>
      <c r="B1" s="566"/>
      <c r="C1" s="566"/>
      <c r="D1" s="568"/>
      <c r="E1" s="566"/>
      <c r="F1" s="566"/>
      <c r="G1" s="567"/>
      <c r="H1" s="566"/>
      <c r="I1" s="567"/>
      <c r="J1" s="567"/>
      <c r="K1" s="3190" t="s">
        <v>148</v>
      </c>
      <c r="L1" s="567"/>
      <c r="M1" s="567"/>
      <c r="N1" s="565"/>
      <c r="O1" s="565"/>
      <c r="P1" s="566"/>
      <c r="Q1" s="566"/>
      <c r="R1" s="565"/>
      <c r="S1" s="565"/>
      <c r="T1" s="565"/>
      <c r="U1" s="565"/>
      <c r="V1" s="564"/>
      <c r="W1" s="564"/>
      <c r="X1" s="564"/>
      <c r="Y1" s="563"/>
      <c r="Z1" s="3192" t="s">
        <v>149</v>
      </c>
      <c r="AA1" s="3193"/>
      <c r="AB1" s="3194"/>
      <c r="AC1" s="3195" t="s">
        <v>150</v>
      </c>
      <c r="AD1" s="3196"/>
      <c r="AE1" s="3197"/>
      <c r="AF1" s="3182" t="s">
        <v>151</v>
      </c>
      <c r="AG1" s="3183"/>
      <c r="AH1" s="3184"/>
      <c r="AI1" s="3185" t="s">
        <v>152</v>
      </c>
      <c r="AJ1" s="3186"/>
      <c r="AK1" s="3187"/>
    </row>
    <row r="2" spans="1:37" s="524" customFormat="1" ht="9" customHeight="1" x14ac:dyDescent="0.25">
      <c r="B2" s="560"/>
      <c r="C2" s="560" t="s">
        <v>153</v>
      </c>
      <c r="D2" s="562"/>
      <c r="E2" s="560"/>
      <c r="F2" s="560"/>
      <c r="G2" s="561"/>
      <c r="H2" s="560"/>
      <c r="I2" s="561"/>
      <c r="J2" s="561"/>
      <c r="K2" s="3191"/>
      <c r="L2" s="561"/>
      <c r="M2" s="561"/>
      <c r="N2" s="559"/>
      <c r="O2" s="559"/>
      <c r="P2" s="560"/>
      <c r="Q2" s="560"/>
      <c r="R2" s="559"/>
      <c r="S2" s="559"/>
      <c r="T2" s="559"/>
      <c r="U2" s="559"/>
      <c r="V2" s="558" t="e">
        <f>#REF!+#REF!+#REF!+#REF!+#REF!+#REF!</f>
        <v>#REF!</v>
      </c>
      <c r="W2" s="558" t="e">
        <f>#REF!+#REF!+#REF!+#REF!+#REF!+#REF!</f>
        <v>#REF!</v>
      </c>
      <c r="X2" s="558" t="e">
        <f>#REF!+#REF!+#REF!+#REF!+#REF!+#REF!</f>
        <v>#REF!</v>
      </c>
      <c r="Y2" s="555"/>
      <c r="Z2" s="557">
        <f>Z4</f>
        <v>7347518299</v>
      </c>
      <c r="AA2" s="557"/>
      <c r="AB2" s="556"/>
      <c r="AC2" s="555"/>
      <c r="AD2" s="554"/>
      <c r="AE2" s="553"/>
      <c r="AF2" s="552"/>
      <c r="AG2" s="551"/>
      <c r="AH2" s="550"/>
      <c r="AI2" s="549"/>
      <c r="AJ2" s="548"/>
      <c r="AK2" s="547"/>
    </row>
    <row r="3" spans="1:37" ht="28.5" customHeight="1" x14ac:dyDescent="0.25">
      <c r="A3" s="543" t="s">
        <v>154</v>
      </c>
      <c r="B3" s="544" t="s">
        <v>155</v>
      </c>
      <c r="C3" s="544" t="s">
        <v>156</v>
      </c>
      <c r="D3" s="544" t="s">
        <v>157</v>
      </c>
      <c r="E3" s="546" t="s">
        <v>158</v>
      </c>
      <c r="F3" s="546" t="s">
        <v>159</v>
      </c>
      <c r="G3" s="544" t="s">
        <v>160</v>
      </c>
      <c r="H3" s="546" t="s">
        <v>161</v>
      </c>
      <c r="I3" s="544" t="s">
        <v>98</v>
      </c>
      <c r="J3" s="544"/>
      <c r="K3" s="545" t="s">
        <v>162</v>
      </c>
      <c r="L3" s="544" t="s">
        <v>1057</v>
      </c>
      <c r="M3" s="544" t="s">
        <v>98</v>
      </c>
      <c r="N3" s="543" t="s">
        <v>163</v>
      </c>
      <c r="O3" s="543" t="s">
        <v>164</v>
      </c>
      <c r="P3" s="542" t="s">
        <v>165</v>
      </c>
      <c r="Q3" s="542" t="s">
        <v>166</v>
      </c>
      <c r="R3" s="541" t="s">
        <v>167</v>
      </c>
      <c r="S3" s="3188" t="s">
        <v>168</v>
      </c>
      <c r="T3" s="3189"/>
      <c r="U3" s="541" t="s">
        <v>169</v>
      </c>
      <c r="V3" s="3188" t="s">
        <v>170</v>
      </c>
      <c r="W3" s="3189"/>
      <c r="X3" s="435" t="s">
        <v>171</v>
      </c>
      <c r="Y3" s="540" t="s">
        <v>570</v>
      </c>
      <c r="Z3" s="540" t="s">
        <v>173</v>
      </c>
      <c r="AA3" s="539" t="s">
        <v>174</v>
      </c>
      <c r="AB3" s="539" t="s">
        <v>175</v>
      </c>
      <c r="AC3" s="538" t="s">
        <v>173</v>
      </c>
      <c r="AD3" s="537" t="s">
        <v>174</v>
      </c>
      <c r="AE3" s="537" t="s">
        <v>175</v>
      </c>
      <c r="AF3" s="536" t="s">
        <v>173</v>
      </c>
      <c r="AG3" s="535" t="s">
        <v>174</v>
      </c>
      <c r="AH3" s="535" t="s">
        <v>175</v>
      </c>
      <c r="AI3" s="534" t="s">
        <v>173</v>
      </c>
      <c r="AJ3" s="533" t="s">
        <v>174</v>
      </c>
      <c r="AK3" s="533" t="s">
        <v>175</v>
      </c>
    </row>
    <row r="4" spans="1:37" s="524" customFormat="1" ht="12.6" hidden="1" customHeight="1" x14ac:dyDescent="0.25">
      <c r="A4" s="426" t="s">
        <v>176</v>
      </c>
      <c r="B4" s="428">
        <v>11</v>
      </c>
      <c r="C4" s="428"/>
      <c r="D4" s="428"/>
      <c r="E4" s="427"/>
      <c r="F4" s="426"/>
      <c r="G4" s="426"/>
      <c r="H4" s="427"/>
      <c r="I4" s="426"/>
      <c r="J4" s="426"/>
      <c r="K4" s="426"/>
      <c r="L4" s="426"/>
      <c r="M4" s="426"/>
      <c r="N4" s="422">
        <f>SUM(N5:N71)</f>
        <v>7347518299</v>
      </c>
      <c r="O4" s="422">
        <f t="shared" ref="O4:AK4" si="0">SUM(O5:O71)</f>
        <v>0</v>
      </c>
      <c r="P4" s="422"/>
      <c r="Q4" s="422">
        <f t="shared" si="0"/>
        <v>0</v>
      </c>
      <c r="R4" s="422">
        <f t="shared" si="0"/>
        <v>0</v>
      </c>
      <c r="S4" s="422">
        <f t="shared" si="0"/>
        <v>0</v>
      </c>
      <c r="T4" s="422">
        <f t="shared" si="0"/>
        <v>0</v>
      </c>
      <c r="U4" s="422">
        <f t="shared" si="0"/>
        <v>0</v>
      </c>
      <c r="V4" s="422">
        <f t="shared" si="0"/>
        <v>0</v>
      </c>
      <c r="W4" s="422">
        <f t="shared" si="0"/>
        <v>0</v>
      </c>
      <c r="X4" s="422">
        <f t="shared" si="0"/>
        <v>0</v>
      </c>
      <c r="Y4" s="422">
        <f t="shared" si="0"/>
        <v>0</v>
      </c>
      <c r="Z4" s="422">
        <f t="shared" si="0"/>
        <v>7347518299</v>
      </c>
      <c r="AA4" s="422">
        <f t="shared" si="0"/>
        <v>0</v>
      </c>
      <c r="AB4" s="422">
        <f t="shared" si="0"/>
        <v>0</v>
      </c>
      <c r="AC4" s="422">
        <f t="shared" si="0"/>
        <v>7347518299</v>
      </c>
      <c r="AD4" s="422">
        <f t="shared" si="0"/>
        <v>0</v>
      </c>
      <c r="AE4" s="422">
        <f t="shared" si="0"/>
        <v>0</v>
      </c>
      <c r="AF4" s="422">
        <f t="shared" si="0"/>
        <v>0</v>
      </c>
      <c r="AG4" s="422">
        <f t="shared" si="0"/>
        <v>0</v>
      </c>
      <c r="AH4" s="422">
        <f t="shared" si="0"/>
        <v>0</v>
      </c>
      <c r="AI4" s="422">
        <f t="shared" si="0"/>
        <v>0</v>
      </c>
      <c r="AJ4" s="422">
        <f t="shared" si="0"/>
        <v>0</v>
      </c>
      <c r="AK4" s="422">
        <f t="shared" si="0"/>
        <v>0</v>
      </c>
    </row>
    <row r="5" spans="1:37" ht="22.5" hidden="1" x14ac:dyDescent="0.25">
      <c r="J5" s="1534" t="s">
        <v>1058</v>
      </c>
      <c r="K5" s="1535" t="s">
        <v>1059</v>
      </c>
      <c r="L5" s="1536"/>
      <c r="M5" s="1536"/>
      <c r="N5" s="1537">
        <v>77594714</v>
      </c>
      <c r="O5" s="1538"/>
      <c r="P5" s="1538">
        <v>2019</v>
      </c>
      <c r="Q5" s="1538"/>
      <c r="R5" s="1538"/>
      <c r="S5" s="1538"/>
      <c r="T5" s="1538"/>
      <c r="U5" s="1538"/>
      <c r="V5" s="1538"/>
      <c r="W5" s="1538"/>
      <c r="X5" s="500"/>
      <c r="Y5" s="500">
        <v>0</v>
      </c>
      <c r="Z5" s="1537">
        <v>77594714</v>
      </c>
      <c r="AA5" s="1538"/>
      <c r="AB5" s="1538"/>
      <c r="AC5" s="1537">
        <v>77594714</v>
      </c>
      <c r="AD5" s="1538"/>
      <c r="AE5" s="1538"/>
      <c r="AF5" s="1538"/>
      <c r="AG5" s="1538"/>
      <c r="AH5" s="1538"/>
      <c r="AI5" s="1538"/>
      <c r="AJ5" s="1538"/>
      <c r="AK5" s="1538"/>
    </row>
    <row r="6" spans="1:37" ht="22.5" x14ac:dyDescent="0.25">
      <c r="J6" s="1534" t="s">
        <v>1060</v>
      </c>
      <c r="K6" s="1535" t="s">
        <v>1061</v>
      </c>
      <c r="L6" s="1539" t="s">
        <v>223</v>
      </c>
      <c r="M6" s="1539"/>
      <c r="N6" s="1537">
        <v>6370039</v>
      </c>
      <c r="O6" s="1538"/>
      <c r="P6" s="1538">
        <v>2019</v>
      </c>
      <c r="Q6" s="1538"/>
      <c r="R6" s="1538"/>
      <c r="S6" s="1538"/>
      <c r="T6" s="1538"/>
      <c r="U6" s="1538"/>
      <c r="V6" s="1538"/>
      <c r="W6" s="1538"/>
      <c r="X6" s="500"/>
      <c r="Y6" s="500">
        <v>0</v>
      </c>
      <c r="Z6" s="1537">
        <v>6370039</v>
      </c>
      <c r="AA6" s="1538"/>
      <c r="AB6" s="1538"/>
      <c r="AC6" s="1537">
        <v>6370039</v>
      </c>
      <c r="AD6" s="1538"/>
      <c r="AE6" s="1538"/>
      <c r="AF6" s="1538"/>
      <c r="AG6" s="1538"/>
      <c r="AH6" s="1538"/>
      <c r="AI6" s="1538"/>
      <c r="AJ6" s="1538"/>
      <c r="AK6" s="1538"/>
    </row>
    <row r="7" spans="1:37" ht="22.5" x14ac:dyDescent="0.25">
      <c r="J7" s="1534" t="s">
        <v>1062</v>
      </c>
      <c r="K7" s="1535" t="s">
        <v>1063</v>
      </c>
      <c r="L7" s="1539" t="s">
        <v>223</v>
      </c>
      <c r="M7" s="1539"/>
      <c r="N7" s="1537">
        <v>92793299</v>
      </c>
      <c r="O7" s="1538"/>
      <c r="P7" s="1538">
        <v>2019</v>
      </c>
      <c r="Q7" s="1538"/>
      <c r="R7" s="1538"/>
      <c r="S7" s="1538"/>
      <c r="T7" s="1538"/>
      <c r="U7" s="1538"/>
      <c r="V7" s="1538"/>
      <c r="W7" s="1538"/>
      <c r="X7" s="500"/>
      <c r="Y7" s="500">
        <v>0</v>
      </c>
      <c r="Z7" s="1537">
        <v>92793299</v>
      </c>
      <c r="AA7" s="1538"/>
      <c r="AB7" s="1538"/>
      <c r="AC7" s="1537">
        <v>92793299</v>
      </c>
      <c r="AD7" s="1538"/>
      <c r="AE7" s="1538"/>
      <c r="AF7" s="1538"/>
      <c r="AG7" s="1538"/>
      <c r="AH7" s="1538"/>
      <c r="AI7" s="1538"/>
      <c r="AJ7" s="1538"/>
      <c r="AK7" s="1538"/>
    </row>
    <row r="8" spans="1:37" ht="22.5" hidden="1" x14ac:dyDescent="0.25">
      <c r="J8" s="1540" t="s">
        <v>1064</v>
      </c>
      <c r="K8" s="1540" t="s">
        <v>1065</v>
      </c>
      <c r="L8" s="1536"/>
      <c r="M8" s="1536"/>
      <c r="N8" s="1541">
        <v>163581521</v>
      </c>
      <c r="O8" s="1538"/>
      <c r="P8" s="1538">
        <v>2019</v>
      </c>
      <c r="Q8" s="1538"/>
      <c r="R8" s="1538"/>
      <c r="S8" s="1538"/>
      <c r="T8" s="1538"/>
      <c r="U8" s="1538"/>
      <c r="V8" s="1538"/>
      <c r="W8" s="1538"/>
      <c r="X8" s="500"/>
      <c r="Y8" s="500">
        <v>0</v>
      </c>
      <c r="Z8" s="1541">
        <v>163581521</v>
      </c>
      <c r="AA8" s="1538"/>
      <c r="AB8" s="1538"/>
      <c r="AC8" s="1541">
        <v>163581521</v>
      </c>
      <c r="AD8" s="1538"/>
      <c r="AE8" s="1538"/>
      <c r="AF8" s="1538"/>
      <c r="AG8" s="1538"/>
      <c r="AH8" s="1538"/>
      <c r="AI8" s="1538"/>
      <c r="AJ8" s="1538"/>
      <c r="AK8" s="1538"/>
    </row>
    <row r="9" spans="1:37" ht="11.25" x14ac:dyDescent="0.25">
      <c r="J9" s="1540" t="s">
        <v>1064</v>
      </c>
      <c r="K9" s="1540" t="s">
        <v>1066</v>
      </c>
      <c r="L9" s="1539" t="s">
        <v>223</v>
      </c>
      <c r="M9" s="1539"/>
      <c r="N9" s="1541">
        <v>67133444</v>
      </c>
      <c r="O9" s="1538"/>
      <c r="P9" s="1538">
        <v>2019</v>
      </c>
      <c r="Q9" s="1538"/>
      <c r="R9" s="1538"/>
      <c r="S9" s="1538"/>
      <c r="T9" s="1538"/>
      <c r="U9" s="1538"/>
      <c r="V9" s="1538"/>
      <c r="W9" s="1538"/>
      <c r="X9" s="500"/>
      <c r="Y9" s="500">
        <v>0</v>
      </c>
      <c r="Z9" s="1541">
        <v>67133444</v>
      </c>
      <c r="AA9" s="1538"/>
      <c r="AB9" s="1538"/>
      <c r="AC9" s="1541">
        <v>67133444</v>
      </c>
      <c r="AD9" s="1538"/>
      <c r="AE9" s="1538"/>
      <c r="AF9" s="1538"/>
      <c r="AG9" s="1538"/>
      <c r="AH9" s="1538"/>
      <c r="AI9" s="1538"/>
      <c r="AJ9" s="1538"/>
      <c r="AK9" s="1538"/>
    </row>
    <row r="10" spans="1:37" ht="11.25" hidden="1" x14ac:dyDescent="0.25">
      <c r="J10" s="1540" t="s">
        <v>1067</v>
      </c>
      <c r="K10" s="1540" t="s">
        <v>1068</v>
      </c>
      <c r="L10" s="1536"/>
      <c r="M10" s="1536"/>
      <c r="N10" s="1541">
        <v>12504788</v>
      </c>
      <c r="O10" s="1538"/>
      <c r="P10" s="1538">
        <v>2019</v>
      </c>
      <c r="Q10" s="1538"/>
      <c r="R10" s="1538"/>
      <c r="S10" s="1538"/>
      <c r="T10" s="1538"/>
      <c r="U10" s="1538"/>
      <c r="V10" s="1538"/>
      <c r="W10" s="1538"/>
      <c r="X10" s="500"/>
      <c r="Y10" s="500">
        <v>0</v>
      </c>
      <c r="Z10" s="1541">
        <v>12504788</v>
      </c>
      <c r="AA10" s="1538"/>
      <c r="AB10" s="1538"/>
      <c r="AC10" s="1541">
        <v>12504788</v>
      </c>
      <c r="AD10" s="1538"/>
      <c r="AE10" s="1538"/>
      <c r="AF10" s="1538"/>
      <c r="AG10" s="1538"/>
      <c r="AH10" s="1538"/>
      <c r="AI10" s="1538"/>
      <c r="AJ10" s="1538"/>
      <c r="AK10" s="1538"/>
    </row>
    <row r="11" spans="1:37" ht="11.25" x14ac:dyDescent="0.25">
      <c r="J11" s="1540" t="s">
        <v>1067</v>
      </c>
      <c r="K11" s="1540" t="s">
        <v>1069</v>
      </c>
      <c r="L11" s="1539" t="s">
        <v>223</v>
      </c>
      <c r="M11" s="1539"/>
      <c r="N11" s="1541">
        <v>9765893</v>
      </c>
      <c r="O11" s="1538"/>
      <c r="P11" s="1538">
        <v>2019</v>
      </c>
      <c r="Q11" s="1538"/>
      <c r="R11" s="1538"/>
      <c r="S11" s="1538"/>
      <c r="T11" s="1538"/>
      <c r="U11" s="1538"/>
      <c r="V11" s="1538"/>
      <c r="W11" s="1538"/>
      <c r="X11" s="500"/>
      <c r="Y11" s="500">
        <v>0</v>
      </c>
      <c r="Z11" s="1541">
        <v>9765893</v>
      </c>
      <c r="AA11" s="1538"/>
      <c r="AB11" s="1538"/>
      <c r="AC11" s="1541">
        <v>9765893</v>
      </c>
      <c r="AD11" s="1538"/>
      <c r="AE11" s="1538"/>
      <c r="AF11" s="1538"/>
      <c r="AG11" s="1538"/>
      <c r="AH11" s="1538"/>
      <c r="AI11" s="1538"/>
      <c r="AJ11" s="1538"/>
      <c r="AK11" s="1538"/>
    </row>
    <row r="12" spans="1:37" ht="22.5" hidden="1" x14ac:dyDescent="0.25">
      <c r="J12" s="1540" t="s">
        <v>1070</v>
      </c>
      <c r="K12" s="1540" t="s">
        <v>1071</v>
      </c>
      <c r="L12" s="1536"/>
      <c r="M12" s="1536"/>
      <c r="N12" s="1541">
        <v>32902593</v>
      </c>
      <c r="O12" s="1538"/>
      <c r="P12" s="1538">
        <v>2019</v>
      </c>
      <c r="Q12" s="1538"/>
      <c r="R12" s="1538"/>
      <c r="S12" s="1538"/>
      <c r="T12" s="1538"/>
      <c r="U12" s="1538"/>
      <c r="V12" s="1538"/>
      <c r="W12" s="1538"/>
      <c r="X12" s="500"/>
      <c r="Y12" s="500">
        <v>0</v>
      </c>
      <c r="Z12" s="1541">
        <v>32902593</v>
      </c>
      <c r="AA12" s="1538"/>
      <c r="AB12" s="1538"/>
      <c r="AC12" s="1541">
        <v>32902593</v>
      </c>
      <c r="AD12" s="1538"/>
      <c r="AE12" s="1538"/>
      <c r="AF12" s="1538"/>
      <c r="AG12" s="1538"/>
      <c r="AH12" s="1538"/>
      <c r="AI12" s="1538"/>
      <c r="AJ12" s="1538"/>
      <c r="AK12" s="1538"/>
    </row>
    <row r="13" spans="1:37" ht="22.5" hidden="1" x14ac:dyDescent="0.25">
      <c r="J13" s="1540" t="s">
        <v>1070</v>
      </c>
      <c r="K13" s="1540" t="s">
        <v>1072</v>
      </c>
      <c r="L13" s="1536"/>
      <c r="M13" s="1536"/>
      <c r="N13" s="1541">
        <v>61642462</v>
      </c>
      <c r="O13" s="1538"/>
      <c r="P13" s="1538">
        <v>2019</v>
      </c>
      <c r="Q13" s="1538"/>
      <c r="R13" s="1538"/>
      <c r="S13" s="1538"/>
      <c r="T13" s="1538"/>
      <c r="U13" s="1538"/>
      <c r="V13" s="1538"/>
      <c r="W13" s="1538"/>
      <c r="X13" s="500"/>
      <c r="Y13" s="500">
        <v>0</v>
      </c>
      <c r="Z13" s="1541">
        <v>61642462</v>
      </c>
      <c r="AA13" s="1538"/>
      <c r="AB13" s="1538"/>
      <c r="AC13" s="1541">
        <v>61642462</v>
      </c>
      <c r="AD13" s="1538"/>
      <c r="AE13" s="1538"/>
      <c r="AF13" s="1538"/>
      <c r="AG13" s="1538"/>
      <c r="AH13" s="1538"/>
      <c r="AI13" s="1538"/>
      <c r="AJ13" s="1538"/>
      <c r="AK13" s="1538"/>
    </row>
    <row r="14" spans="1:37" ht="22.5" x14ac:dyDescent="0.25">
      <c r="J14" s="1540" t="s">
        <v>1073</v>
      </c>
      <c r="K14" s="1540" t="s">
        <v>1074</v>
      </c>
      <c r="L14" s="1539" t="s">
        <v>223</v>
      </c>
      <c r="M14" s="1539"/>
      <c r="N14" s="1537">
        <v>30020535</v>
      </c>
      <c r="O14" s="1538"/>
      <c r="P14" s="1538">
        <v>2019</v>
      </c>
      <c r="Q14" s="1538"/>
      <c r="R14" s="1538"/>
      <c r="S14" s="1538"/>
      <c r="T14" s="1538"/>
      <c r="U14" s="1538"/>
      <c r="V14" s="1538"/>
      <c r="W14" s="1538"/>
      <c r="X14" s="500"/>
      <c r="Y14" s="500">
        <v>0</v>
      </c>
      <c r="Z14" s="1537">
        <v>30020535</v>
      </c>
      <c r="AA14" s="1538"/>
      <c r="AB14" s="1538"/>
      <c r="AC14" s="1537">
        <v>30020535</v>
      </c>
      <c r="AD14" s="1538"/>
      <c r="AE14" s="1538"/>
      <c r="AF14" s="1538"/>
      <c r="AG14" s="1538"/>
      <c r="AH14" s="1538"/>
      <c r="AI14" s="1538"/>
      <c r="AJ14" s="1538"/>
      <c r="AK14" s="1538"/>
    </row>
    <row r="15" spans="1:37" ht="22.5" x14ac:dyDescent="0.25">
      <c r="J15" s="1540" t="s">
        <v>1075</v>
      </c>
      <c r="K15" s="1535" t="s">
        <v>1076</v>
      </c>
      <c r="L15" s="1539" t="s">
        <v>223</v>
      </c>
      <c r="M15" s="1539"/>
      <c r="N15" s="1537">
        <v>56204934</v>
      </c>
      <c r="O15" s="1538"/>
      <c r="P15" s="1538">
        <v>2019</v>
      </c>
      <c r="Q15" s="1538"/>
      <c r="R15" s="1538"/>
      <c r="S15" s="1538"/>
      <c r="T15" s="1538"/>
      <c r="U15" s="1538"/>
      <c r="V15" s="1538"/>
      <c r="W15" s="1538"/>
      <c r="X15" s="500"/>
      <c r="Y15" s="500">
        <v>0</v>
      </c>
      <c r="Z15" s="1537">
        <v>56204934</v>
      </c>
      <c r="AA15" s="1538"/>
      <c r="AB15" s="1538"/>
      <c r="AC15" s="1537">
        <v>56204934</v>
      </c>
      <c r="AD15" s="1538"/>
      <c r="AE15" s="1538"/>
      <c r="AF15" s="1538"/>
      <c r="AG15" s="1538"/>
      <c r="AH15" s="1538"/>
      <c r="AI15" s="1538"/>
      <c r="AJ15" s="1538"/>
      <c r="AK15" s="1538"/>
    </row>
    <row r="16" spans="1:37" ht="11.25" x14ac:dyDescent="0.25">
      <c r="J16" s="1540" t="s">
        <v>1077</v>
      </c>
      <c r="K16" s="1535" t="s">
        <v>1078</v>
      </c>
      <c r="L16" s="1539" t="s">
        <v>223</v>
      </c>
      <c r="M16" s="1539"/>
      <c r="N16" s="1537">
        <v>315036941</v>
      </c>
      <c r="O16" s="1538"/>
      <c r="P16" s="1538">
        <v>2019</v>
      </c>
      <c r="Q16" s="1538"/>
      <c r="R16" s="1538"/>
      <c r="S16" s="1538"/>
      <c r="T16" s="1538"/>
      <c r="U16" s="1538"/>
      <c r="V16" s="1538"/>
      <c r="W16" s="1538"/>
      <c r="X16" s="500"/>
      <c r="Y16" s="500">
        <v>0</v>
      </c>
      <c r="Z16" s="1537">
        <v>315036941</v>
      </c>
      <c r="AA16" s="1538"/>
      <c r="AB16" s="1538"/>
      <c r="AC16" s="1537">
        <v>315036941</v>
      </c>
      <c r="AD16" s="1538"/>
      <c r="AE16" s="1538"/>
      <c r="AF16" s="1538"/>
      <c r="AG16" s="1538"/>
      <c r="AH16" s="1538"/>
      <c r="AI16" s="1538"/>
      <c r="AJ16" s="1538"/>
      <c r="AK16" s="1538"/>
    </row>
    <row r="17" spans="10:37" ht="22.5" x14ac:dyDescent="0.25">
      <c r="J17" s="1540" t="s">
        <v>1079</v>
      </c>
      <c r="K17" s="1535" t="s">
        <v>1080</v>
      </c>
      <c r="L17" s="1539" t="s">
        <v>223</v>
      </c>
      <c r="M17" s="1539"/>
      <c r="N17" s="1542">
        <v>42970732</v>
      </c>
      <c r="O17" s="1538"/>
      <c r="P17" s="1538">
        <v>2019</v>
      </c>
      <c r="Q17" s="1538"/>
      <c r="R17" s="1538"/>
      <c r="S17" s="1538"/>
      <c r="T17" s="1538"/>
      <c r="U17" s="1538"/>
      <c r="V17" s="1538"/>
      <c r="W17" s="1538"/>
      <c r="X17" s="500"/>
      <c r="Y17" s="500">
        <v>0</v>
      </c>
      <c r="Z17" s="1542">
        <v>42970732</v>
      </c>
      <c r="AA17" s="1538"/>
      <c r="AB17" s="1538"/>
      <c r="AC17" s="1542">
        <v>42970732</v>
      </c>
      <c r="AD17" s="1538"/>
      <c r="AE17" s="1538"/>
      <c r="AF17" s="1538"/>
      <c r="AG17" s="1538"/>
      <c r="AH17" s="1538"/>
      <c r="AI17" s="1538"/>
      <c r="AJ17" s="1538"/>
      <c r="AK17" s="1538"/>
    </row>
    <row r="18" spans="10:37" ht="22.5" x14ac:dyDescent="0.25">
      <c r="J18" s="1540" t="s">
        <v>1079</v>
      </c>
      <c r="K18" s="1535" t="s">
        <v>1081</v>
      </c>
      <c r="L18" s="1539" t="s">
        <v>223</v>
      </c>
      <c r="M18" s="1539"/>
      <c r="N18" s="1542">
        <v>84067360</v>
      </c>
      <c r="O18" s="1538"/>
      <c r="P18" s="1538">
        <v>2019</v>
      </c>
      <c r="Q18" s="1538"/>
      <c r="R18" s="1538"/>
      <c r="S18" s="1538"/>
      <c r="T18" s="1538"/>
      <c r="U18" s="1538"/>
      <c r="V18" s="1538"/>
      <c r="W18" s="1538"/>
      <c r="X18" s="500"/>
      <c r="Y18" s="500">
        <v>0</v>
      </c>
      <c r="Z18" s="1542">
        <v>84067360</v>
      </c>
      <c r="AA18" s="1538"/>
      <c r="AB18" s="1538"/>
      <c r="AC18" s="1542">
        <v>84067360</v>
      </c>
      <c r="AD18" s="1538"/>
      <c r="AE18" s="1538"/>
      <c r="AF18" s="1538"/>
      <c r="AG18" s="1538"/>
      <c r="AH18" s="1538"/>
      <c r="AI18" s="1538"/>
      <c r="AJ18" s="1538"/>
      <c r="AK18" s="1538"/>
    </row>
    <row r="19" spans="10:37" ht="22.5" x14ac:dyDescent="0.25">
      <c r="J19" s="1540" t="s">
        <v>1079</v>
      </c>
      <c r="K19" s="1535" t="s">
        <v>1082</v>
      </c>
      <c r="L19" s="1539" t="s">
        <v>223</v>
      </c>
      <c r="M19" s="1539"/>
      <c r="N19" s="1542">
        <v>66507917</v>
      </c>
      <c r="O19" s="1538"/>
      <c r="P19" s="1538">
        <v>2019</v>
      </c>
      <c r="Q19" s="1538"/>
      <c r="R19" s="1538"/>
      <c r="S19" s="1538"/>
      <c r="T19" s="1538"/>
      <c r="U19" s="1538"/>
      <c r="V19" s="1538"/>
      <c r="W19" s="1538"/>
      <c r="X19" s="500"/>
      <c r="Y19" s="500">
        <v>0</v>
      </c>
      <c r="Z19" s="1542">
        <v>66507917</v>
      </c>
      <c r="AA19" s="1538"/>
      <c r="AB19" s="1538"/>
      <c r="AC19" s="1542">
        <v>66507917</v>
      </c>
      <c r="AD19" s="1538"/>
      <c r="AE19" s="1538"/>
      <c r="AF19" s="1538"/>
      <c r="AG19" s="1538"/>
      <c r="AH19" s="1538"/>
      <c r="AI19" s="1538"/>
      <c r="AJ19" s="1538"/>
      <c r="AK19" s="1538"/>
    </row>
    <row r="20" spans="10:37" ht="33.75" x14ac:dyDescent="0.25">
      <c r="J20" s="1540" t="s">
        <v>1079</v>
      </c>
      <c r="K20" s="1535" t="s">
        <v>1083</v>
      </c>
      <c r="L20" s="1539" t="s">
        <v>223</v>
      </c>
      <c r="M20" s="1539"/>
      <c r="N20" s="1542">
        <v>97730298</v>
      </c>
      <c r="O20" s="1538"/>
      <c r="P20" s="1538">
        <v>2019</v>
      </c>
      <c r="Q20" s="1538"/>
      <c r="R20" s="1538"/>
      <c r="S20" s="1538"/>
      <c r="T20" s="1538"/>
      <c r="U20" s="1538"/>
      <c r="V20" s="1538"/>
      <c r="W20" s="1538"/>
      <c r="X20" s="500"/>
      <c r="Y20" s="500">
        <v>0</v>
      </c>
      <c r="Z20" s="1542">
        <v>97730298</v>
      </c>
      <c r="AA20" s="1538"/>
      <c r="AB20" s="1538"/>
      <c r="AC20" s="1542">
        <v>97730298</v>
      </c>
      <c r="AD20" s="1538"/>
      <c r="AE20" s="1538"/>
      <c r="AF20" s="1538"/>
      <c r="AG20" s="1538"/>
      <c r="AH20" s="1538"/>
      <c r="AI20" s="1538"/>
      <c r="AJ20" s="1538"/>
      <c r="AK20" s="1538"/>
    </row>
    <row r="21" spans="10:37" ht="33.75" hidden="1" x14ac:dyDescent="0.25">
      <c r="J21" s="1540" t="s">
        <v>1079</v>
      </c>
      <c r="K21" s="1535" t="s">
        <v>1084</v>
      </c>
      <c r="L21" s="1536"/>
      <c r="M21" s="1536"/>
      <c r="N21" s="1542">
        <v>99994048</v>
      </c>
      <c r="O21" s="1538"/>
      <c r="P21" s="1538">
        <v>2019</v>
      </c>
      <c r="Q21" s="1538"/>
      <c r="R21" s="1538"/>
      <c r="S21" s="1538"/>
      <c r="T21" s="1538"/>
      <c r="U21" s="1538"/>
      <c r="V21" s="1538"/>
      <c r="W21" s="1538"/>
      <c r="X21" s="500"/>
      <c r="Y21" s="500">
        <v>0</v>
      </c>
      <c r="Z21" s="1542">
        <v>99994048</v>
      </c>
      <c r="AA21" s="1538"/>
      <c r="AB21" s="1538"/>
      <c r="AC21" s="1542">
        <v>99994048</v>
      </c>
      <c r="AD21" s="1538"/>
      <c r="AE21" s="1538"/>
      <c r="AF21" s="1538"/>
      <c r="AG21" s="1538"/>
      <c r="AH21" s="1538"/>
      <c r="AI21" s="1538"/>
      <c r="AJ21" s="1538"/>
      <c r="AK21" s="1538"/>
    </row>
    <row r="22" spans="10:37" ht="33.75" x14ac:dyDescent="0.25">
      <c r="J22" s="1540" t="s">
        <v>1079</v>
      </c>
      <c r="K22" s="1535" t="s">
        <v>1085</v>
      </c>
      <c r="L22" s="1539" t="s">
        <v>223</v>
      </c>
      <c r="M22" s="1539"/>
      <c r="N22" s="1542">
        <v>74443817</v>
      </c>
      <c r="O22" s="1538"/>
      <c r="P22" s="1538">
        <v>2019</v>
      </c>
      <c r="Q22" s="1538"/>
      <c r="R22" s="1538"/>
      <c r="S22" s="1538"/>
      <c r="T22" s="1538"/>
      <c r="U22" s="1538"/>
      <c r="V22" s="1538"/>
      <c r="W22" s="1538"/>
      <c r="X22" s="500"/>
      <c r="Y22" s="500">
        <v>0</v>
      </c>
      <c r="Z22" s="1542">
        <v>74443817</v>
      </c>
      <c r="AA22" s="1538"/>
      <c r="AB22" s="1538"/>
      <c r="AC22" s="1542">
        <v>74443817</v>
      </c>
      <c r="AD22" s="1538"/>
      <c r="AE22" s="1538"/>
      <c r="AF22" s="1538"/>
      <c r="AG22" s="1538"/>
      <c r="AH22" s="1538"/>
      <c r="AI22" s="1538"/>
      <c r="AJ22" s="1538"/>
      <c r="AK22" s="1538"/>
    </row>
    <row r="23" spans="10:37" ht="22.5" hidden="1" x14ac:dyDescent="0.25">
      <c r="J23" s="1534" t="s">
        <v>1086</v>
      </c>
      <c r="K23" s="1535" t="s">
        <v>1087</v>
      </c>
      <c r="L23" s="1536"/>
      <c r="M23" s="1536"/>
      <c r="N23" s="1541">
        <v>99987967</v>
      </c>
      <c r="O23" s="1538"/>
      <c r="P23" s="1538">
        <v>2019</v>
      </c>
      <c r="Q23" s="1538"/>
      <c r="R23" s="1538"/>
      <c r="S23" s="1538"/>
      <c r="T23" s="1538"/>
      <c r="U23" s="1538"/>
      <c r="V23" s="1538"/>
      <c r="W23" s="1538"/>
      <c r="X23" s="500"/>
      <c r="Y23" s="500">
        <v>0</v>
      </c>
      <c r="Z23" s="1541">
        <v>99987967</v>
      </c>
      <c r="AA23" s="1538"/>
      <c r="AB23" s="1538"/>
      <c r="AC23" s="1541">
        <v>99987967</v>
      </c>
      <c r="AD23" s="1538"/>
      <c r="AE23" s="1538"/>
      <c r="AF23" s="1538"/>
      <c r="AG23" s="1538"/>
      <c r="AH23" s="1538"/>
      <c r="AI23" s="1538"/>
      <c r="AJ23" s="1538"/>
      <c r="AK23" s="1538"/>
    </row>
    <row r="24" spans="10:37" ht="11.25" x14ac:dyDescent="0.25">
      <c r="J24" s="1534" t="s">
        <v>1088</v>
      </c>
      <c r="K24" s="1535" t="s">
        <v>1089</v>
      </c>
      <c r="L24" s="1539" t="s">
        <v>223</v>
      </c>
      <c r="M24" s="1539"/>
      <c r="N24" s="1537">
        <v>48833390</v>
      </c>
      <c r="O24" s="1538"/>
      <c r="P24" s="1538">
        <v>2019</v>
      </c>
      <c r="Q24" s="1538"/>
      <c r="R24" s="1538"/>
      <c r="S24" s="1538"/>
      <c r="T24" s="1538"/>
      <c r="U24" s="1538"/>
      <c r="V24" s="1538"/>
      <c r="W24" s="1538"/>
      <c r="X24" s="500"/>
      <c r="Y24" s="500">
        <v>0</v>
      </c>
      <c r="Z24" s="1537">
        <v>48833390</v>
      </c>
      <c r="AA24" s="1538"/>
      <c r="AB24" s="1538"/>
      <c r="AC24" s="1537">
        <v>48833390</v>
      </c>
      <c r="AD24" s="1538"/>
      <c r="AE24" s="1538"/>
      <c r="AF24" s="1538"/>
      <c r="AG24" s="1538"/>
      <c r="AH24" s="1538"/>
      <c r="AI24" s="1538"/>
      <c r="AJ24" s="1538"/>
      <c r="AK24" s="1538"/>
    </row>
    <row r="25" spans="10:37" ht="22.5" hidden="1" x14ac:dyDescent="0.25">
      <c r="J25" s="1534" t="s">
        <v>1090</v>
      </c>
      <c r="K25" s="1535" t="s">
        <v>1091</v>
      </c>
      <c r="L25" s="1536"/>
      <c r="M25" s="1536"/>
      <c r="N25" s="1537">
        <v>138487478</v>
      </c>
      <c r="O25" s="1538"/>
      <c r="P25" s="1538">
        <v>2019</v>
      </c>
      <c r="Q25" s="1538"/>
      <c r="R25" s="1538"/>
      <c r="S25" s="1538"/>
      <c r="T25" s="1538"/>
      <c r="U25" s="1538"/>
      <c r="V25" s="1538"/>
      <c r="W25" s="1538"/>
      <c r="X25" s="500"/>
      <c r="Y25" s="500">
        <v>0</v>
      </c>
      <c r="Z25" s="1537">
        <v>138487478</v>
      </c>
      <c r="AA25" s="1538"/>
      <c r="AB25" s="1538"/>
      <c r="AC25" s="1537">
        <v>138487478</v>
      </c>
      <c r="AD25" s="1538"/>
      <c r="AE25" s="1538"/>
      <c r="AF25" s="1538"/>
      <c r="AG25" s="1538"/>
      <c r="AH25" s="1538"/>
      <c r="AI25" s="1538"/>
      <c r="AJ25" s="1538"/>
      <c r="AK25" s="1538"/>
    </row>
    <row r="26" spans="10:37" ht="22.5" x14ac:dyDescent="0.25">
      <c r="J26" s="1534" t="s">
        <v>1092</v>
      </c>
      <c r="K26" s="1535" t="s">
        <v>1093</v>
      </c>
      <c r="L26" s="1539" t="s">
        <v>223</v>
      </c>
      <c r="M26" s="1539"/>
      <c r="N26" s="1537">
        <v>125775521</v>
      </c>
      <c r="O26" s="1538"/>
      <c r="P26" s="1538">
        <v>2019</v>
      </c>
      <c r="Q26" s="1538"/>
      <c r="R26" s="1538"/>
      <c r="S26" s="1538"/>
      <c r="T26" s="1538"/>
      <c r="U26" s="1538"/>
      <c r="V26" s="1538"/>
      <c r="W26" s="1538"/>
      <c r="X26" s="500"/>
      <c r="Y26" s="500">
        <v>0</v>
      </c>
      <c r="Z26" s="1537">
        <v>125775521</v>
      </c>
      <c r="AA26" s="1538"/>
      <c r="AB26" s="1538"/>
      <c r="AC26" s="1537">
        <v>125775521</v>
      </c>
      <c r="AD26" s="1538"/>
      <c r="AE26" s="1538"/>
      <c r="AF26" s="1538"/>
      <c r="AG26" s="1538"/>
      <c r="AH26" s="1538"/>
      <c r="AI26" s="1538"/>
      <c r="AJ26" s="1538"/>
      <c r="AK26" s="1538"/>
    </row>
    <row r="27" spans="10:37" ht="22.5" x14ac:dyDescent="0.25">
      <c r="J27" s="1534" t="s">
        <v>1092</v>
      </c>
      <c r="K27" s="1535" t="s">
        <v>1094</v>
      </c>
      <c r="L27" s="1539" t="s">
        <v>223</v>
      </c>
      <c r="M27" s="1539"/>
      <c r="N27" s="1537">
        <v>16566474</v>
      </c>
      <c r="O27" s="1538"/>
      <c r="P27" s="1538">
        <v>2019</v>
      </c>
      <c r="Q27" s="1538"/>
      <c r="R27" s="1538"/>
      <c r="S27" s="1538"/>
      <c r="T27" s="1538"/>
      <c r="U27" s="1538"/>
      <c r="V27" s="1538"/>
      <c r="W27" s="1538"/>
      <c r="X27" s="500"/>
      <c r="Y27" s="500">
        <v>0</v>
      </c>
      <c r="Z27" s="1537">
        <v>16566474</v>
      </c>
      <c r="AA27" s="1538"/>
      <c r="AB27" s="1538"/>
      <c r="AC27" s="1537">
        <v>16566474</v>
      </c>
      <c r="AD27" s="1538"/>
      <c r="AE27" s="1538"/>
      <c r="AF27" s="1538"/>
      <c r="AG27" s="1538"/>
      <c r="AH27" s="1538"/>
      <c r="AI27" s="1538"/>
      <c r="AJ27" s="1538"/>
      <c r="AK27" s="1538"/>
    </row>
    <row r="28" spans="10:37" ht="22.5" hidden="1" x14ac:dyDescent="0.25">
      <c r="J28" s="1540" t="s">
        <v>1095</v>
      </c>
      <c r="K28" s="1535" t="s">
        <v>1096</v>
      </c>
      <c r="L28" s="1536"/>
      <c r="M28" s="1536"/>
      <c r="N28" s="1537">
        <v>82874696</v>
      </c>
      <c r="O28" s="1538"/>
      <c r="P28" s="1538">
        <v>2019</v>
      </c>
      <c r="Q28" s="1538"/>
      <c r="R28" s="1538"/>
      <c r="S28" s="1538"/>
      <c r="T28" s="1538"/>
      <c r="U28" s="1538"/>
      <c r="V28" s="1538"/>
      <c r="W28" s="1538"/>
      <c r="X28" s="500"/>
      <c r="Y28" s="500">
        <v>0</v>
      </c>
      <c r="Z28" s="1537">
        <v>82874696</v>
      </c>
      <c r="AA28" s="1538"/>
      <c r="AB28" s="1538"/>
      <c r="AC28" s="1537">
        <v>82874696</v>
      </c>
      <c r="AD28" s="1538"/>
      <c r="AE28" s="1538"/>
      <c r="AF28" s="1538"/>
      <c r="AG28" s="1538"/>
      <c r="AH28" s="1538"/>
      <c r="AI28" s="1538"/>
      <c r="AJ28" s="1538"/>
      <c r="AK28" s="1538"/>
    </row>
    <row r="29" spans="10:37" ht="22.5" x14ac:dyDescent="0.25">
      <c r="J29" s="1540" t="s">
        <v>1097</v>
      </c>
      <c r="K29" s="1543" t="s">
        <v>1098</v>
      </c>
      <c r="L29" s="1539" t="s">
        <v>223</v>
      </c>
      <c r="M29" s="1539"/>
      <c r="N29" s="1544">
        <v>104587415</v>
      </c>
      <c r="O29" s="1538"/>
      <c r="P29" s="1538">
        <v>2019</v>
      </c>
      <c r="Q29" s="1538"/>
      <c r="R29" s="1538"/>
      <c r="S29" s="1538"/>
      <c r="T29" s="1538"/>
      <c r="U29" s="1538"/>
      <c r="V29" s="1538"/>
      <c r="W29" s="1538"/>
      <c r="X29" s="500"/>
      <c r="Y29" s="500">
        <v>0</v>
      </c>
      <c r="Z29" s="1544">
        <v>104587415</v>
      </c>
      <c r="AA29" s="1538"/>
      <c r="AB29" s="1538"/>
      <c r="AC29" s="1544">
        <v>104587415</v>
      </c>
      <c r="AD29" s="1538"/>
      <c r="AE29" s="1538"/>
      <c r="AF29" s="1538"/>
      <c r="AG29" s="1538"/>
      <c r="AH29" s="1538"/>
      <c r="AI29" s="1538"/>
      <c r="AJ29" s="1538"/>
      <c r="AK29" s="1538"/>
    </row>
    <row r="30" spans="10:37" ht="22.5" hidden="1" x14ac:dyDescent="0.25">
      <c r="J30" s="1540" t="s">
        <v>1097</v>
      </c>
      <c r="K30" s="1543" t="s">
        <v>1099</v>
      </c>
      <c r="L30" s="1536"/>
      <c r="M30" s="1536"/>
      <c r="N30" s="1544">
        <v>78525669</v>
      </c>
      <c r="O30" s="1538"/>
      <c r="P30" s="1538">
        <v>2019</v>
      </c>
      <c r="Q30" s="1538"/>
      <c r="R30" s="1538"/>
      <c r="S30" s="1538"/>
      <c r="T30" s="1538"/>
      <c r="U30" s="1538"/>
      <c r="V30" s="1538"/>
      <c r="W30" s="1538"/>
      <c r="X30" s="500"/>
      <c r="Y30" s="500">
        <v>0</v>
      </c>
      <c r="Z30" s="1544">
        <v>78525669</v>
      </c>
      <c r="AA30" s="1538"/>
      <c r="AB30" s="1538"/>
      <c r="AC30" s="1544">
        <v>78525669</v>
      </c>
      <c r="AD30" s="1538"/>
      <c r="AE30" s="1538"/>
      <c r="AF30" s="1538"/>
      <c r="AG30" s="1538"/>
      <c r="AH30" s="1538"/>
      <c r="AI30" s="1538"/>
      <c r="AJ30" s="1538"/>
      <c r="AK30" s="1538"/>
    </row>
    <row r="31" spans="10:37" ht="22.5" x14ac:dyDescent="0.25">
      <c r="J31" s="1540" t="s">
        <v>1097</v>
      </c>
      <c r="K31" s="1543" t="s">
        <v>1100</v>
      </c>
      <c r="L31" s="1539" t="s">
        <v>223</v>
      </c>
      <c r="M31" s="1539"/>
      <c r="N31" s="1544">
        <v>60990241</v>
      </c>
      <c r="O31" s="1538"/>
      <c r="P31" s="1538">
        <v>2019</v>
      </c>
      <c r="Q31" s="1538"/>
      <c r="R31" s="1538"/>
      <c r="S31" s="1538"/>
      <c r="T31" s="1538"/>
      <c r="U31" s="1538"/>
      <c r="V31" s="1538"/>
      <c r="W31" s="1538"/>
      <c r="X31" s="500"/>
      <c r="Y31" s="500">
        <v>0</v>
      </c>
      <c r="Z31" s="1544">
        <v>60990241</v>
      </c>
      <c r="AA31" s="1538"/>
      <c r="AB31" s="1538"/>
      <c r="AC31" s="1544">
        <v>60990241</v>
      </c>
      <c r="AD31" s="1538"/>
      <c r="AE31" s="1538"/>
      <c r="AF31" s="1538"/>
      <c r="AG31" s="1538"/>
      <c r="AH31" s="1538"/>
      <c r="AI31" s="1538"/>
      <c r="AJ31" s="1538"/>
      <c r="AK31" s="1538"/>
    </row>
    <row r="32" spans="10:37" ht="22.5" x14ac:dyDescent="0.25">
      <c r="J32" s="1540" t="s">
        <v>1101</v>
      </c>
      <c r="K32" s="1543" t="s">
        <v>1102</v>
      </c>
      <c r="L32" s="1539" t="s">
        <v>223</v>
      </c>
      <c r="M32" s="1539"/>
      <c r="N32" s="1544">
        <v>13639162</v>
      </c>
      <c r="O32" s="1538"/>
      <c r="P32" s="1538">
        <v>2019</v>
      </c>
      <c r="Q32" s="1538"/>
      <c r="R32" s="1538"/>
      <c r="S32" s="1538"/>
      <c r="T32" s="1538"/>
      <c r="U32" s="1538"/>
      <c r="V32" s="1538"/>
      <c r="W32" s="1538"/>
      <c r="X32" s="500"/>
      <c r="Y32" s="500">
        <v>0</v>
      </c>
      <c r="Z32" s="1544">
        <v>13639162</v>
      </c>
      <c r="AA32" s="1538"/>
      <c r="AB32" s="1538"/>
      <c r="AC32" s="1544">
        <v>13639162</v>
      </c>
      <c r="AD32" s="1538"/>
      <c r="AE32" s="1538"/>
      <c r="AF32" s="1538"/>
      <c r="AG32" s="1538"/>
      <c r="AH32" s="1538"/>
      <c r="AI32" s="1538"/>
      <c r="AJ32" s="1538"/>
      <c r="AK32" s="1538"/>
    </row>
    <row r="33" spans="10:37" ht="22.5" x14ac:dyDescent="0.25">
      <c r="J33" s="1540" t="s">
        <v>1101</v>
      </c>
      <c r="K33" s="1543" t="s">
        <v>1103</v>
      </c>
      <c r="L33" s="1539" t="s">
        <v>223</v>
      </c>
      <c r="M33" s="1539"/>
      <c r="N33" s="1544">
        <v>67411148</v>
      </c>
      <c r="O33" s="1538"/>
      <c r="P33" s="1538">
        <v>2019</v>
      </c>
      <c r="Q33" s="1538"/>
      <c r="R33" s="1538"/>
      <c r="S33" s="1538"/>
      <c r="T33" s="1538"/>
      <c r="U33" s="1538"/>
      <c r="V33" s="1538"/>
      <c r="W33" s="1538"/>
      <c r="X33" s="500"/>
      <c r="Y33" s="500">
        <v>0</v>
      </c>
      <c r="Z33" s="1544">
        <v>67411148</v>
      </c>
      <c r="AA33" s="1538"/>
      <c r="AB33" s="1538"/>
      <c r="AC33" s="1544">
        <v>67411148</v>
      </c>
      <c r="AD33" s="1538"/>
      <c r="AE33" s="1538"/>
      <c r="AF33" s="1538"/>
      <c r="AG33" s="1538"/>
      <c r="AH33" s="1538"/>
      <c r="AI33" s="1538"/>
      <c r="AJ33" s="1538"/>
      <c r="AK33" s="1538"/>
    </row>
    <row r="34" spans="10:37" ht="22.5" hidden="1" x14ac:dyDescent="0.25">
      <c r="J34" s="1540" t="s">
        <v>1104</v>
      </c>
      <c r="K34" s="1543" t="s">
        <v>1105</v>
      </c>
      <c r="L34" s="1536"/>
      <c r="M34" s="1536"/>
      <c r="N34" s="1544">
        <v>55253526</v>
      </c>
      <c r="O34" s="1538"/>
      <c r="P34" s="1538">
        <v>2019</v>
      </c>
      <c r="Q34" s="1538"/>
      <c r="R34" s="1538"/>
      <c r="S34" s="1538"/>
      <c r="T34" s="1538"/>
      <c r="U34" s="1538"/>
      <c r="V34" s="1538"/>
      <c r="W34" s="1538"/>
      <c r="X34" s="500"/>
      <c r="Y34" s="500">
        <v>0</v>
      </c>
      <c r="Z34" s="1544">
        <v>55253526</v>
      </c>
      <c r="AA34" s="1538"/>
      <c r="AB34" s="1538"/>
      <c r="AC34" s="1544">
        <v>55253526</v>
      </c>
      <c r="AD34" s="1538"/>
      <c r="AE34" s="1538"/>
      <c r="AF34" s="1538"/>
      <c r="AG34" s="1538"/>
      <c r="AH34" s="1538"/>
      <c r="AI34" s="1538"/>
      <c r="AJ34" s="1538"/>
      <c r="AK34" s="1538"/>
    </row>
    <row r="35" spans="10:37" ht="22.5" x14ac:dyDescent="0.25">
      <c r="J35" s="1540" t="s">
        <v>1106</v>
      </c>
      <c r="K35" s="1543" t="s">
        <v>1107</v>
      </c>
      <c r="L35" s="1539" t="s">
        <v>223</v>
      </c>
      <c r="M35" s="1539"/>
      <c r="N35" s="1544">
        <v>35348894</v>
      </c>
      <c r="O35" s="1538"/>
      <c r="P35" s="1538">
        <v>2019</v>
      </c>
      <c r="Q35" s="1538"/>
      <c r="R35" s="1538"/>
      <c r="S35" s="1538"/>
      <c r="T35" s="1538"/>
      <c r="U35" s="1538"/>
      <c r="V35" s="1538"/>
      <c r="W35" s="1538"/>
      <c r="X35" s="500"/>
      <c r="Y35" s="500">
        <v>0</v>
      </c>
      <c r="Z35" s="1544">
        <v>35348894</v>
      </c>
      <c r="AA35" s="1538"/>
      <c r="AB35" s="1538"/>
      <c r="AC35" s="1544">
        <v>35348894</v>
      </c>
      <c r="AD35" s="1538"/>
      <c r="AE35" s="1538"/>
      <c r="AF35" s="1538"/>
      <c r="AG35" s="1538"/>
      <c r="AH35" s="1538"/>
      <c r="AI35" s="1538"/>
      <c r="AJ35" s="1538"/>
      <c r="AK35" s="1538"/>
    </row>
    <row r="36" spans="10:37" ht="22.5" x14ac:dyDescent="0.25">
      <c r="J36" s="1540" t="s">
        <v>1106</v>
      </c>
      <c r="K36" s="1543" t="s">
        <v>1108</v>
      </c>
      <c r="L36" s="1539" t="s">
        <v>223</v>
      </c>
      <c r="M36" s="1539"/>
      <c r="N36" s="1544">
        <v>42291437</v>
      </c>
      <c r="O36" s="1538"/>
      <c r="P36" s="1538">
        <v>2019</v>
      </c>
      <c r="Q36" s="1538"/>
      <c r="R36" s="1538"/>
      <c r="S36" s="1538"/>
      <c r="T36" s="1538"/>
      <c r="U36" s="1538"/>
      <c r="V36" s="1538"/>
      <c r="W36" s="1538"/>
      <c r="X36" s="500"/>
      <c r="Y36" s="500">
        <v>0</v>
      </c>
      <c r="Z36" s="1544">
        <v>42291437</v>
      </c>
      <c r="AA36" s="1538"/>
      <c r="AB36" s="1538"/>
      <c r="AC36" s="1544">
        <v>42291437</v>
      </c>
      <c r="AD36" s="1538"/>
      <c r="AE36" s="1538"/>
      <c r="AF36" s="1538"/>
      <c r="AG36" s="1538"/>
      <c r="AH36" s="1538"/>
      <c r="AI36" s="1538"/>
      <c r="AJ36" s="1538"/>
      <c r="AK36" s="1538"/>
    </row>
    <row r="37" spans="10:37" ht="33.75" x14ac:dyDescent="0.25">
      <c r="J37" s="1540" t="s">
        <v>1109</v>
      </c>
      <c r="K37" s="1543" t="s">
        <v>1110</v>
      </c>
      <c r="L37" s="1539" t="s">
        <v>223</v>
      </c>
      <c r="M37" s="1539"/>
      <c r="N37" s="1544">
        <v>84195086</v>
      </c>
      <c r="O37" s="1538"/>
      <c r="P37" s="1538">
        <v>2019</v>
      </c>
      <c r="Q37" s="1538"/>
      <c r="R37" s="1538"/>
      <c r="S37" s="1538"/>
      <c r="T37" s="1538"/>
      <c r="U37" s="1538"/>
      <c r="V37" s="1538"/>
      <c r="W37" s="1538"/>
      <c r="X37" s="500"/>
      <c r="Y37" s="500">
        <v>0</v>
      </c>
      <c r="Z37" s="1544">
        <v>84195086</v>
      </c>
      <c r="AA37" s="1538"/>
      <c r="AB37" s="1538"/>
      <c r="AC37" s="1544">
        <v>84195086</v>
      </c>
      <c r="AD37" s="1538"/>
      <c r="AE37" s="1538"/>
      <c r="AF37" s="1538"/>
      <c r="AG37" s="1538"/>
      <c r="AH37" s="1538"/>
      <c r="AI37" s="1538"/>
      <c r="AJ37" s="1538"/>
      <c r="AK37" s="1538"/>
    </row>
    <row r="38" spans="10:37" ht="22.5" x14ac:dyDescent="0.25">
      <c r="J38" s="1540" t="s">
        <v>1111</v>
      </c>
      <c r="K38" s="1543" t="s">
        <v>1112</v>
      </c>
      <c r="L38" s="1539" t="s">
        <v>223</v>
      </c>
      <c r="M38" s="1539"/>
      <c r="N38" s="1544">
        <f>30931540</f>
        <v>30931540</v>
      </c>
      <c r="O38" s="1538"/>
      <c r="P38" s="1538">
        <v>2019</v>
      </c>
      <c r="Q38" s="1538"/>
      <c r="R38" s="1538"/>
      <c r="S38" s="1538"/>
      <c r="T38" s="1538"/>
      <c r="U38" s="1538"/>
      <c r="V38" s="1538"/>
      <c r="W38" s="1538"/>
      <c r="X38" s="500"/>
      <c r="Y38" s="500">
        <v>0</v>
      </c>
      <c r="Z38" s="1544">
        <f>30931540</f>
        <v>30931540</v>
      </c>
      <c r="AA38" s="1538"/>
      <c r="AB38" s="1538"/>
      <c r="AC38" s="1544">
        <f>30931540</f>
        <v>30931540</v>
      </c>
      <c r="AD38" s="1538"/>
      <c r="AE38" s="1538"/>
      <c r="AF38" s="1538"/>
      <c r="AG38" s="1538"/>
      <c r="AH38" s="1538"/>
      <c r="AI38" s="1538"/>
      <c r="AJ38" s="1538"/>
      <c r="AK38" s="1538"/>
    </row>
    <row r="39" spans="10:37" ht="22.5" x14ac:dyDescent="0.25">
      <c r="J39" s="1540" t="s">
        <v>1113</v>
      </c>
      <c r="K39" s="1543" t="s">
        <v>1114</v>
      </c>
      <c r="L39" s="1539" t="s">
        <v>223</v>
      </c>
      <c r="M39" s="1539"/>
      <c r="N39" s="1544">
        <v>21249132</v>
      </c>
      <c r="O39" s="1538"/>
      <c r="P39" s="1538">
        <v>2019</v>
      </c>
      <c r="Q39" s="1538"/>
      <c r="R39" s="1538"/>
      <c r="S39" s="1538"/>
      <c r="T39" s="1538"/>
      <c r="U39" s="1538"/>
      <c r="V39" s="1538"/>
      <c r="W39" s="1538"/>
      <c r="X39" s="500"/>
      <c r="Y39" s="500">
        <v>0</v>
      </c>
      <c r="Z39" s="1544">
        <v>21249132</v>
      </c>
      <c r="AA39" s="1538"/>
      <c r="AB39" s="1538"/>
      <c r="AC39" s="1544">
        <v>21249132</v>
      </c>
      <c r="AD39" s="1538"/>
      <c r="AE39" s="1538"/>
      <c r="AF39" s="1538"/>
      <c r="AG39" s="1538"/>
      <c r="AH39" s="1538"/>
      <c r="AI39" s="1538"/>
      <c r="AJ39" s="1538"/>
      <c r="AK39" s="1538"/>
    </row>
    <row r="40" spans="10:37" ht="11.25" hidden="1" x14ac:dyDescent="0.25">
      <c r="J40" s="1540" t="s">
        <v>1115</v>
      </c>
      <c r="K40" s="1543" t="s">
        <v>1116</v>
      </c>
      <c r="L40" s="1536"/>
      <c r="M40" s="1536"/>
      <c r="N40" s="1544">
        <v>45000000</v>
      </c>
      <c r="O40" s="1538"/>
      <c r="P40" s="1538">
        <v>2019</v>
      </c>
      <c r="Q40" s="1538"/>
      <c r="R40" s="1538"/>
      <c r="S40" s="1538"/>
      <c r="T40" s="1538"/>
      <c r="U40" s="1538"/>
      <c r="V40" s="1538"/>
      <c r="W40" s="1538"/>
      <c r="X40" s="500"/>
      <c r="Y40" s="500">
        <v>0</v>
      </c>
      <c r="Z40" s="1544">
        <v>45000000</v>
      </c>
      <c r="AA40" s="1538"/>
      <c r="AB40" s="1538"/>
      <c r="AC40" s="1544">
        <v>45000000</v>
      </c>
      <c r="AD40" s="1538"/>
      <c r="AE40" s="1538"/>
      <c r="AF40" s="1538"/>
      <c r="AG40" s="1538"/>
      <c r="AH40" s="1538"/>
      <c r="AI40" s="1538"/>
      <c r="AJ40" s="1538"/>
      <c r="AK40" s="1538"/>
    </row>
    <row r="41" spans="10:37" ht="22.5" x14ac:dyDescent="0.25">
      <c r="J41" s="1540" t="s">
        <v>1117</v>
      </c>
      <c r="K41" s="1543" t="s">
        <v>1118</v>
      </c>
      <c r="L41" s="1539" t="s">
        <v>223</v>
      </c>
      <c r="M41" s="1539"/>
      <c r="N41" s="1544">
        <v>43760242</v>
      </c>
      <c r="O41" s="1538"/>
      <c r="P41" s="1538">
        <v>2019</v>
      </c>
      <c r="Q41" s="1538"/>
      <c r="R41" s="1538"/>
      <c r="S41" s="1538"/>
      <c r="T41" s="1538"/>
      <c r="U41" s="1538"/>
      <c r="V41" s="1538"/>
      <c r="W41" s="1538"/>
      <c r="X41" s="500"/>
      <c r="Y41" s="500">
        <v>0</v>
      </c>
      <c r="Z41" s="1544">
        <v>43760242</v>
      </c>
      <c r="AA41" s="1538"/>
      <c r="AB41" s="1538"/>
      <c r="AC41" s="1544">
        <v>43760242</v>
      </c>
      <c r="AD41" s="1538"/>
      <c r="AE41" s="1538"/>
      <c r="AF41" s="1538"/>
      <c r="AG41" s="1538"/>
      <c r="AH41" s="1538"/>
      <c r="AI41" s="1538"/>
      <c r="AJ41" s="1538"/>
      <c r="AK41" s="1538"/>
    </row>
    <row r="42" spans="10:37" ht="22.5" hidden="1" x14ac:dyDescent="0.25">
      <c r="J42" s="1540" t="s">
        <v>1119</v>
      </c>
      <c r="K42" s="1543" t="s">
        <v>1120</v>
      </c>
      <c r="L42" s="1536"/>
      <c r="M42" s="1536"/>
      <c r="N42" s="1544">
        <v>59278000</v>
      </c>
      <c r="O42" s="1538"/>
      <c r="P42" s="1538">
        <v>2019</v>
      </c>
      <c r="Q42" s="1538"/>
      <c r="R42" s="1538"/>
      <c r="S42" s="1538"/>
      <c r="T42" s="1538"/>
      <c r="U42" s="1538"/>
      <c r="V42" s="1538"/>
      <c r="W42" s="1538"/>
      <c r="X42" s="500"/>
      <c r="Y42" s="500">
        <v>0</v>
      </c>
      <c r="Z42" s="1544">
        <v>59278000</v>
      </c>
      <c r="AA42" s="1538"/>
      <c r="AB42" s="1538"/>
      <c r="AC42" s="1544">
        <v>59278000</v>
      </c>
      <c r="AD42" s="1538"/>
      <c r="AE42" s="1538"/>
      <c r="AF42" s="1538"/>
      <c r="AG42" s="1538"/>
      <c r="AH42" s="1538"/>
      <c r="AI42" s="1538"/>
      <c r="AJ42" s="1538"/>
      <c r="AK42" s="1538"/>
    </row>
    <row r="43" spans="10:37" ht="22.5" hidden="1" x14ac:dyDescent="0.25">
      <c r="J43" s="1540" t="s">
        <v>1119</v>
      </c>
      <c r="K43" s="1543" t="s">
        <v>1121</v>
      </c>
      <c r="L43" s="1536"/>
      <c r="M43" s="1536"/>
      <c r="N43" s="1544">
        <v>32985915</v>
      </c>
      <c r="O43" s="1538"/>
      <c r="P43" s="1538">
        <v>2019</v>
      </c>
      <c r="Q43" s="1538"/>
      <c r="R43" s="1538"/>
      <c r="S43" s="1538"/>
      <c r="T43" s="1538"/>
      <c r="U43" s="1538"/>
      <c r="V43" s="1538"/>
      <c r="W43" s="1538"/>
      <c r="X43" s="500"/>
      <c r="Y43" s="500">
        <v>0</v>
      </c>
      <c r="Z43" s="1544">
        <v>32985915</v>
      </c>
      <c r="AA43" s="1538"/>
      <c r="AB43" s="1538"/>
      <c r="AC43" s="1544">
        <v>32985915</v>
      </c>
      <c r="AD43" s="1538"/>
      <c r="AE43" s="1538"/>
      <c r="AF43" s="1538"/>
      <c r="AG43" s="1538"/>
      <c r="AH43" s="1538"/>
      <c r="AI43" s="1538"/>
      <c r="AJ43" s="1538"/>
      <c r="AK43" s="1538"/>
    </row>
    <row r="44" spans="10:37" ht="11.25" x14ac:dyDescent="0.25">
      <c r="J44" s="1540" t="s">
        <v>1119</v>
      </c>
      <c r="K44" s="1543" t="s">
        <v>1122</v>
      </c>
      <c r="L44" s="1539" t="s">
        <v>223</v>
      </c>
      <c r="M44" s="1539"/>
      <c r="N44" s="1544">
        <v>54574048</v>
      </c>
      <c r="O44" s="1538"/>
      <c r="P44" s="1538">
        <v>2019</v>
      </c>
      <c r="Q44" s="1538"/>
      <c r="R44" s="1538"/>
      <c r="S44" s="1538"/>
      <c r="T44" s="1538"/>
      <c r="U44" s="1538"/>
      <c r="V44" s="1538"/>
      <c r="W44" s="1538"/>
      <c r="X44" s="500"/>
      <c r="Y44" s="500">
        <v>0</v>
      </c>
      <c r="Z44" s="1544">
        <v>54574048</v>
      </c>
      <c r="AA44" s="1538"/>
      <c r="AB44" s="1538"/>
      <c r="AC44" s="1544">
        <v>54574048</v>
      </c>
      <c r="AD44" s="1538"/>
      <c r="AE44" s="1538"/>
      <c r="AF44" s="1538"/>
      <c r="AG44" s="1538"/>
      <c r="AH44" s="1538"/>
      <c r="AI44" s="1538"/>
      <c r="AJ44" s="1538"/>
      <c r="AK44" s="1538"/>
    </row>
    <row r="45" spans="10:37" ht="33.75" x14ac:dyDescent="0.25">
      <c r="J45" s="1540" t="s">
        <v>1119</v>
      </c>
      <c r="K45" s="1543" t="s">
        <v>1123</v>
      </c>
      <c r="L45" s="1539" t="s">
        <v>223</v>
      </c>
      <c r="M45" s="1539"/>
      <c r="N45" s="1544">
        <v>59999663</v>
      </c>
      <c r="O45" s="1538"/>
      <c r="P45" s="1538">
        <v>2019</v>
      </c>
      <c r="Q45" s="1538"/>
      <c r="R45" s="1538"/>
      <c r="S45" s="1538"/>
      <c r="T45" s="1538"/>
      <c r="U45" s="1538"/>
      <c r="V45" s="1538"/>
      <c r="W45" s="1538"/>
      <c r="X45" s="500"/>
      <c r="Y45" s="500">
        <v>0</v>
      </c>
      <c r="Z45" s="1544">
        <v>59999663</v>
      </c>
      <c r="AA45" s="1538"/>
      <c r="AB45" s="1538"/>
      <c r="AC45" s="1544">
        <v>59999663</v>
      </c>
      <c r="AD45" s="1538"/>
      <c r="AE45" s="1538"/>
      <c r="AF45" s="1538"/>
      <c r="AG45" s="1538"/>
      <c r="AH45" s="1538"/>
      <c r="AI45" s="1538"/>
      <c r="AJ45" s="1538"/>
      <c r="AK45" s="1538"/>
    </row>
    <row r="46" spans="10:37" ht="22.5" hidden="1" x14ac:dyDescent="0.25">
      <c r="J46" s="1540" t="s">
        <v>1124</v>
      </c>
      <c r="K46" s="1543" t="s">
        <v>1125</v>
      </c>
      <c r="L46" s="1536"/>
      <c r="M46" s="1536"/>
      <c r="N46" s="1544">
        <v>46055309</v>
      </c>
      <c r="O46" s="1538"/>
      <c r="P46" s="1538">
        <v>2019</v>
      </c>
      <c r="Q46" s="1538"/>
      <c r="R46" s="1538"/>
      <c r="S46" s="1538"/>
      <c r="T46" s="1538"/>
      <c r="U46" s="1538"/>
      <c r="V46" s="1538"/>
      <c r="W46" s="1538"/>
      <c r="X46" s="500"/>
      <c r="Y46" s="500">
        <v>0</v>
      </c>
      <c r="Z46" s="1544">
        <v>46055309</v>
      </c>
      <c r="AA46" s="1538"/>
      <c r="AB46" s="1538"/>
      <c r="AC46" s="1544">
        <v>46055309</v>
      </c>
      <c r="AD46" s="1538"/>
      <c r="AE46" s="1538"/>
      <c r="AF46" s="1538"/>
      <c r="AG46" s="1538"/>
      <c r="AH46" s="1538"/>
      <c r="AI46" s="1538"/>
      <c r="AJ46" s="1538"/>
      <c r="AK46" s="1538"/>
    </row>
    <row r="47" spans="10:37" ht="11.25" x14ac:dyDescent="0.25">
      <c r="J47" s="1540" t="s">
        <v>1126</v>
      </c>
      <c r="K47" s="1543" t="s">
        <v>1127</v>
      </c>
      <c r="L47" s="1539" t="s">
        <v>223</v>
      </c>
      <c r="M47" s="1539"/>
      <c r="N47" s="1544">
        <v>15000000</v>
      </c>
      <c r="O47" s="1538"/>
      <c r="P47" s="1538">
        <v>2019</v>
      </c>
      <c r="Q47" s="1538"/>
      <c r="R47" s="1538"/>
      <c r="S47" s="1538"/>
      <c r="T47" s="1538"/>
      <c r="U47" s="1538"/>
      <c r="V47" s="1538"/>
      <c r="W47" s="1538"/>
      <c r="X47" s="500"/>
      <c r="Y47" s="500">
        <v>0</v>
      </c>
      <c r="Z47" s="1544">
        <v>15000000</v>
      </c>
      <c r="AA47" s="1538"/>
      <c r="AB47" s="1538"/>
      <c r="AC47" s="1544">
        <v>15000000</v>
      </c>
      <c r="AD47" s="1538"/>
      <c r="AE47" s="1538"/>
      <c r="AF47" s="1538"/>
      <c r="AG47" s="1538"/>
      <c r="AH47" s="1538"/>
      <c r="AI47" s="1538"/>
      <c r="AJ47" s="1538"/>
      <c r="AK47" s="1538"/>
    </row>
    <row r="48" spans="10:37" ht="22.5" x14ac:dyDescent="0.25">
      <c r="J48" s="1540" t="s">
        <v>1126</v>
      </c>
      <c r="K48" s="1543" t="s">
        <v>1128</v>
      </c>
      <c r="L48" s="1539" t="s">
        <v>223</v>
      </c>
      <c r="M48" s="1539"/>
      <c r="N48" s="1544">
        <v>50000000</v>
      </c>
      <c r="O48" s="1538"/>
      <c r="P48" s="1538">
        <v>2019</v>
      </c>
      <c r="Q48" s="1538"/>
      <c r="R48" s="1538"/>
      <c r="S48" s="1538"/>
      <c r="T48" s="1538"/>
      <c r="U48" s="1538"/>
      <c r="V48" s="1538"/>
      <c r="W48" s="1538"/>
      <c r="X48" s="500"/>
      <c r="Y48" s="500">
        <v>0</v>
      </c>
      <c r="Z48" s="1544">
        <v>50000000</v>
      </c>
      <c r="AA48" s="1538"/>
      <c r="AB48" s="1538"/>
      <c r="AC48" s="1544">
        <v>50000000</v>
      </c>
      <c r="AD48" s="1538"/>
      <c r="AE48" s="1538"/>
      <c r="AF48" s="1538"/>
      <c r="AG48" s="1538"/>
      <c r="AH48" s="1538"/>
      <c r="AI48" s="1538"/>
      <c r="AJ48" s="1538"/>
      <c r="AK48" s="1538"/>
    </row>
    <row r="49" spans="10:37" ht="11.25" x14ac:dyDescent="0.25">
      <c r="J49" s="1540" t="s">
        <v>1129</v>
      </c>
      <c r="K49" s="1543" t="s">
        <v>1130</v>
      </c>
      <c r="L49" s="1539" t="s">
        <v>223</v>
      </c>
      <c r="M49" s="1539"/>
      <c r="N49" s="1544">
        <v>95771021</v>
      </c>
      <c r="O49" s="1538"/>
      <c r="P49" s="1538">
        <v>2019</v>
      </c>
      <c r="Q49" s="1538"/>
      <c r="R49" s="1538"/>
      <c r="S49" s="1538"/>
      <c r="T49" s="1538"/>
      <c r="U49" s="1538"/>
      <c r="V49" s="1538"/>
      <c r="W49" s="1538"/>
      <c r="X49" s="500"/>
      <c r="Y49" s="500">
        <v>0</v>
      </c>
      <c r="Z49" s="1544">
        <v>95771021</v>
      </c>
      <c r="AA49" s="1538"/>
      <c r="AB49" s="1538"/>
      <c r="AC49" s="1544">
        <v>95771021</v>
      </c>
      <c r="AD49" s="1538"/>
      <c r="AE49" s="1538"/>
      <c r="AF49" s="1538"/>
      <c r="AG49" s="1538"/>
      <c r="AH49" s="1538"/>
      <c r="AI49" s="1538"/>
      <c r="AJ49" s="1538"/>
      <c r="AK49" s="1538"/>
    </row>
    <row r="50" spans="10:37" ht="22.5" x14ac:dyDescent="0.25">
      <c r="J50" s="1540" t="s">
        <v>1131</v>
      </c>
      <c r="K50" s="1535" t="s">
        <v>1132</v>
      </c>
      <c r="L50" s="1539" t="s">
        <v>223</v>
      </c>
      <c r="M50" s="1539"/>
      <c r="N50" s="1544">
        <v>30363772</v>
      </c>
      <c r="O50" s="1538"/>
      <c r="P50" s="1538">
        <v>2019</v>
      </c>
      <c r="Q50" s="1538"/>
      <c r="R50" s="1538"/>
      <c r="S50" s="1538"/>
      <c r="T50" s="1538"/>
      <c r="U50" s="1538"/>
      <c r="V50" s="1538"/>
      <c r="W50" s="1538"/>
      <c r="X50" s="500"/>
      <c r="Y50" s="500">
        <v>0</v>
      </c>
      <c r="Z50" s="1544">
        <v>30363772</v>
      </c>
      <c r="AA50" s="1538"/>
      <c r="AB50" s="1538"/>
      <c r="AC50" s="1544">
        <v>30363772</v>
      </c>
      <c r="AD50" s="1538"/>
      <c r="AE50" s="1538"/>
      <c r="AF50" s="1538"/>
      <c r="AG50" s="1538"/>
      <c r="AH50" s="1538"/>
      <c r="AI50" s="1538"/>
      <c r="AJ50" s="1538"/>
      <c r="AK50" s="1538"/>
    </row>
    <row r="51" spans="10:37" ht="22.5" x14ac:dyDescent="0.25">
      <c r="J51" s="1540" t="s">
        <v>1133</v>
      </c>
      <c r="K51" s="1535" t="s">
        <v>1134</v>
      </c>
      <c r="L51" s="1539" t="s">
        <v>223</v>
      </c>
      <c r="M51" s="1539"/>
      <c r="N51" s="1537">
        <v>30360779</v>
      </c>
      <c r="O51" s="1538"/>
      <c r="P51" s="1538">
        <v>2019</v>
      </c>
      <c r="Q51" s="1538"/>
      <c r="R51" s="1538"/>
      <c r="S51" s="1538"/>
      <c r="T51" s="1538"/>
      <c r="U51" s="1538"/>
      <c r="V51" s="1538"/>
      <c r="W51" s="1538"/>
      <c r="X51" s="500"/>
      <c r="Y51" s="500">
        <v>0</v>
      </c>
      <c r="Z51" s="1537">
        <v>30360779</v>
      </c>
      <c r="AA51" s="1538"/>
      <c r="AB51" s="1538"/>
      <c r="AC51" s="1537">
        <v>30360779</v>
      </c>
      <c r="AD51" s="1538"/>
      <c r="AE51" s="1538"/>
      <c r="AF51" s="1538"/>
      <c r="AG51" s="1538"/>
      <c r="AH51" s="1538"/>
      <c r="AI51" s="1538"/>
      <c r="AJ51" s="1538"/>
      <c r="AK51" s="1538"/>
    </row>
    <row r="52" spans="10:37" ht="11.25" x14ac:dyDescent="0.25">
      <c r="J52" s="1540" t="s">
        <v>1135</v>
      </c>
      <c r="K52" s="1535" t="s">
        <v>1136</v>
      </c>
      <c r="L52" s="1539" t="s">
        <v>223</v>
      </c>
      <c r="M52" s="1539"/>
      <c r="N52" s="1537">
        <v>94271931</v>
      </c>
      <c r="O52" s="1538"/>
      <c r="P52" s="1538">
        <v>2019</v>
      </c>
      <c r="Q52" s="1538"/>
      <c r="R52" s="1538"/>
      <c r="S52" s="1538"/>
      <c r="T52" s="1538"/>
      <c r="U52" s="1538"/>
      <c r="V52" s="1538"/>
      <c r="W52" s="1538"/>
      <c r="X52" s="500"/>
      <c r="Y52" s="500">
        <v>0</v>
      </c>
      <c r="Z52" s="1537">
        <v>94271931</v>
      </c>
      <c r="AA52" s="1538"/>
      <c r="AB52" s="1538"/>
      <c r="AC52" s="1537">
        <v>94271931</v>
      </c>
      <c r="AD52" s="1538"/>
      <c r="AE52" s="1538"/>
      <c r="AF52" s="1538"/>
      <c r="AG52" s="1538"/>
      <c r="AH52" s="1538"/>
      <c r="AI52" s="1538"/>
      <c r="AJ52" s="1538"/>
      <c r="AK52" s="1538"/>
    </row>
    <row r="53" spans="10:37" ht="11.25" x14ac:dyDescent="0.25">
      <c r="J53" s="1540" t="s">
        <v>1137</v>
      </c>
      <c r="K53" s="1535" t="s">
        <v>1138</v>
      </c>
      <c r="L53" s="1539" t="s">
        <v>223</v>
      </c>
      <c r="M53" s="1539"/>
      <c r="N53" s="1537">
        <v>182816378</v>
      </c>
      <c r="O53" s="1538"/>
      <c r="P53" s="1538">
        <v>2019</v>
      </c>
      <c r="Q53" s="1538"/>
      <c r="R53" s="1538"/>
      <c r="S53" s="1538"/>
      <c r="T53" s="1538"/>
      <c r="U53" s="1538"/>
      <c r="V53" s="1538"/>
      <c r="W53" s="1538"/>
      <c r="X53" s="500"/>
      <c r="Y53" s="500">
        <v>0</v>
      </c>
      <c r="Z53" s="1537">
        <v>182816378</v>
      </c>
      <c r="AA53" s="1538"/>
      <c r="AB53" s="1538"/>
      <c r="AC53" s="1537">
        <v>182816378</v>
      </c>
      <c r="AD53" s="1538"/>
      <c r="AE53" s="1538"/>
      <c r="AF53" s="1538"/>
      <c r="AG53" s="1538"/>
      <c r="AH53" s="1538"/>
      <c r="AI53" s="1538"/>
      <c r="AJ53" s="1538"/>
      <c r="AK53" s="1538"/>
    </row>
    <row r="54" spans="10:37" ht="22.5" x14ac:dyDescent="0.25">
      <c r="J54" s="1540" t="s">
        <v>1137</v>
      </c>
      <c r="K54" s="1535" t="s">
        <v>1139</v>
      </c>
      <c r="L54" s="1539" t="s">
        <v>223</v>
      </c>
      <c r="M54" s="1539"/>
      <c r="N54" s="1537">
        <v>165832315</v>
      </c>
      <c r="O54" s="1538"/>
      <c r="P54" s="1538">
        <v>2019</v>
      </c>
      <c r="Q54" s="1538"/>
      <c r="R54" s="1538"/>
      <c r="S54" s="1538"/>
      <c r="T54" s="1538"/>
      <c r="U54" s="1538"/>
      <c r="V54" s="1538"/>
      <c r="W54" s="1538"/>
      <c r="X54" s="500"/>
      <c r="Y54" s="500">
        <v>0</v>
      </c>
      <c r="Z54" s="1537">
        <v>165832315</v>
      </c>
      <c r="AA54" s="1538"/>
      <c r="AB54" s="1538"/>
      <c r="AC54" s="1537">
        <v>165832315</v>
      </c>
      <c r="AD54" s="1538"/>
      <c r="AE54" s="1538"/>
      <c r="AF54" s="1538"/>
      <c r="AG54" s="1538"/>
      <c r="AH54" s="1538"/>
      <c r="AI54" s="1538"/>
      <c r="AJ54" s="1538"/>
      <c r="AK54" s="1538"/>
    </row>
    <row r="55" spans="10:37" ht="11.25" x14ac:dyDescent="0.25">
      <c r="J55" s="1540" t="s">
        <v>1137</v>
      </c>
      <c r="K55" s="1535" t="s">
        <v>1140</v>
      </c>
      <c r="L55" s="1539" t="s">
        <v>223</v>
      </c>
      <c r="M55" s="1539"/>
      <c r="N55" s="1537">
        <v>165832315</v>
      </c>
      <c r="O55" s="1538"/>
      <c r="P55" s="1538">
        <v>2019</v>
      </c>
      <c r="Q55" s="1538"/>
      <c r="R55" s="1538"/>
      <c r="S55" s="1538"/>
      <c r="T55" s="1538"/>
      <c r="U55" s="1538"/>
      <c r="V55" s="1538"/>
      <c r="W55" s="1538"/>
      <c r="X55" s="500"/>
      <c r="Y55" s="500">
        <v>0</v>
      </c>
      <c r="Z55" s="1537">
        <v>165832315</v>
      </c>
      <c r="AA55" s="1538"/>
      <c r="AB55" s="1538"/>
      <c r="AC55" s="1537">
        <v>165832315</v>
      </c>
      <c r="AD55" s="1538"/>
      <c r="AE55" s="1538"/>
      <c r="AF55" s="1538"/>
      <c r="AG55" s="1538"/>
      <c r="AH55" s="1538"/>
      <c r="AI55" s="1538"/>
      <c r="AJ55" s="1538"/>
      <c r="AK55" s="1538"/>
    </row>
    <row r="56" spans="10:37" ht="11.25" x14ac:dyDescent="0.25">
      <c r="J56" s="1540" t="s">
        <v>1137</v>
      </c>
      <c r="K56" s="1535" t="s">
        <v>1141</v>
      </c>
      <c r="L56" s="1539" t="s">
        <v>223</v>
      </c>
      <c r="M56" s="1539"/>
      <c r="N56" s="1537">
        <v>60600050</v>
      </c>
      <c r="O56" s="1538"/>
      <c r="P56" s="1538">
        <v>2019</v>
      </c>
      <c r="Q56" s="1538"/>
      <c r="R56" s="1538"/>
      <c r="S56" s="1538"/>
      <c r="T56" s="1538"/>
      <c r="U56" s="1538"/>
      <c r="V56" s="1538"/>
      <c r="W56" s="1538"/>
      <c r="X56" s="500"/>
      <c r="Y56" s="500">
        <v>0</v>
      </c>
      <c r="Z56" s="1537">
        <v>60600050</v>
      </c>
      <c r="AA56" s="1538"/>
      <c r="AB56" s="1538"/>
      <c r="AC56" s="1537">
        <v>60600050</v>
      </c>
      <c r="AD56" s="1538"/>
      <c r="AE56" s="1538"/>
      <c r="AF56" s="1538"/>
      <c r="AG56" s="1538"/>
      <c r="AH56" s="1538"/>
      <c r="AI56" s="1538"/>
      <c r="AJ56" s="1538"/>
      <c r="AK56" s="1538"/>
    </row>
    <row r="57" spans="10:37" ht="11.25" x14ac:dyDescent="0.25">
      <c r="J57" s="1540" t="s">
        <v>1137</v>
      </c>
      <c r="K57" s="1535" t="s">
        <v>1142</v>
      </c>
      <c r="L57" s="1539" t="s">
        <v>223</v>
      </c>
      <c r="M57" s="1539"/>
      <c r="N57" s="1537">
        <v>52813317</v>
      </c>
      <c r="O57" s="1538"/>
      <c r="P57" s="1538">
        <v>2019</v>
      </c>
      <c r="Q57" s="1538"/>
      <c r="R57" s="1538"/>
      <c r="S57" s="1538"/>
      <c r="T57" s="1538"/>
      <c r="U57" s="1538"/>
      <c r="V57" s="1538"/>
      <c r="W57" s="1538"/>
      <c r="X57" s="500"/>
      <c r="Y57" s="500">
        <v>0</v>
      </c>
      <c r="Z57" s="1537">
        <v>52813317</v>
      </c>
      <c r="AA57" s="1538"/>
      <c r="AB57" s="1538"/>
      <c r="AC57" s="1537">
        <v>52813317</v>
      </c>
      <c r="AD57" s="1538"/>
      <c r="AE57" s="1538"/>
      <c r="AF57" s="1538"/>
      <c r="AG57" s="1538"/>
      <c r="AH57" s="1538"/>
      <c r="AI57" s="1538"/>
      <c r="AJ57" s="1538"/>
      <c r="AK57" s="1538"/>
    </row>
    <row r="58" spans="10:37" ht="11.25" x14ac:dyDescent="0.25">
      <c r="J58" s="1540" t="s">
        <v>1137</v>
      </c>
      <c r="K58" s="1535" t="s">
        <v>1143</v>
      </c>
      <c r="L58" s="1539" t="s">
        <v>223</v>
      </c>
      <c r="M58" s="1539"/>
      <c r="N58" s="1537">
        <v>52813317</v>
      </c>
      <c r="O58" s="1538"/>
      <c r="P58" s="1538">
        <v>2019</v>
      </c>
      <c r="Q58" s="1538"/>
      <c r="R58" s="1538"/>
      <c r="S58" s="1538"/>
      <c r="T58" s="1538"/>
      <c r="U58" s="1538"/>
      <c r="V58" s="1538"/>
      <c r="W58" s="1538"/>
      <c r="X58" s="500"/>
      <c r="Y58" s="500">
        <v>0</v>
      </c>
      <c r="Z58" s="1537">
        <v>52813317</v>
      </c>
      <c r="AA58" s="1538"/>
      <c r="AB58" s="1538"/>
      <c r="AC58" s="1537">
        <v>52813317</v>
      </c>
      <c r="AD58" s="1538"/>
      <c r="AE58" s="1538"/>
      <c r="AF58" s="1538"/>
      <c r="AG58" s="1538"/>
      <c r="AH58" s="1538"/>
      <c r="AI58" s="1538"/>
      <c r="AJ58" s="1538"/>
      <c r="AK58" s="1538"/>
    </row>
    <row r="59" spans="10:37" ht="11.25" x14ac:dyDescent="0.25">
      <c r="J59" s="1540" t="s">
        <v>1137</v>
      </c>
      <c r="K59" s="1535" t="s">
        <v>1144</v>
      </c>
      <c r="L59" s="1539" t="s">
        <v>223</v>
      </c>
      <c r="M59" s="1539"/>
      <c r="N59" s="1537">
        <v>52813317</v>
      </c>
      <c r="O59" s="1538"/>
      <c r="P59" s="1538">
        <v>2019</v>
      </c>
      <c r="Q59" s="1538"/>
      <c r="R59" s="1538"/>
      <c r="S59" s="1538"/>
      <c r="T59" s="1538"/>
      <c r="U59" s="1538"/>
      <c r="V59" s="1538"/>
      <c r="W59" s="1538"/>
      <c r="X59" s="500"/>
      <c r="Y59" s="500">
        <v>0</v>
      </c>
      <c r="Z59" s="1537">
        <v>52813317</v>
      </c>
      <c r="AA59" s="1538"/>
      <c r="AB59" s="1538"/>
      <c r="AC59" s="1537">
        <v>52813317</v>
      </c>
      <c r="AD59" s="1538"/>
      <c r="AE59" s="1538"/>
      <c r="AF59" s="1538"/>
      <c r="AG59" s="1538"/>
      <c r="AH59" s="1538"/>
      <c r="AI59" s="1538"/>
      <c r="AJ59" s="1538"/>
      <c r="AK59" s="1538"/>
    </row>
    <row r="60" spans="10:37" ht="11.25" x14ac:dyDescent="0.25">
      <c r="J60" s="1540" t="s">
        <v>1137</v>
      </c>
      <c r="K60" s="1535" t="s">
        <v>1145</v>
      </c>
      <c r="L60" s="1539" t="s">
        <v>223</v>
      </c>
      <c r="M60" s="1539"/>
      <c r="N60" s="1537">
        <v>52813317</v>
      </c>
      <c r="O60" s="1538"/>
      <c r="P60" s="1538">
        <v>2019</v>
      </c>
      <c r="Q60" s="1538"/>
      <c r="R60" s="1538"/>
      <c r="S60" s="1538"/>
      <c r="T60" s="1538"/>
      <c r="U60" s="1538"/>
      <c r="V60" s="1538"/>
      <c r="W60" s="1538"/>
      <c r="X60" s="500"/>
      <c r="Y60" s="500">
        <v>0</v>
      </c>
      <c r="Z60" s="1537">
        <v>52813317</v>
      </c>
      <c r="AA60" s="1538"/>
      <c r="AB60" s="1538"/>
      <c r="AC60" s="1537">
        <v>52813317</v>
      </c>
      <c r="AD60" s="1538"/>
      <c r="AE60" s="1538"/>
      <c r="AF60" s="1538"/>
      <c r="AG60" s="1538"/>
      <c r="AH60" s="1538"/>
      <c r="AI60" s="1538"/>
      <c r="AJ60" s="1538"/>
      <c r="AK60" s="1538"/>
    </row>
    <row r="61" spans="10:37" ht="11.25" x14ac:dyDescent="0.25">
      <c r="J61" s="1540" t="s">
        <v>1137</v>
      </c>
      <c r="K61" s="1535" t="s">
        <v>1146</v>
      </c>
      <c r="L61" s="1539" t="s">
        <v>223</v>
      </c>
      <c r="M61" s="1539"/>
      <c r="N61" s="1537">
        <v>52813317</v>
      </c>
      <c r="O61" s="1538"/>
      <c r="P61" s="1538">
        <v>2019</v>
      </c>
      <c r="Q61" s="1538"/>
      <c r="R61" s="1538"/>
      <c r="S61" s="1538"/>
      <c r="T61" s="1538"/>
      <c r="U61" s="1538"/>
      <c r="V61" s="1538"/>
      <c r="W61" s="1538"/>
      <c r="X61" s="500"/>
      <c r="Y61" s="500">
        <v>0</v>
      </c>
      <c r="Z61" s="1537">
        <v>52813317</v>
      </c>
      <c r="AA61" s="1538"/>
      <c r="AB61" s="1538"/>
      <c r="AC61" s="1537">
        <v>52813317</v>
      </c>
      <c r="AD61" s="1538"/>
      <c r="AE61" s="1538"/>
      <c r="AF61" s="1538"/>
      <c r="AG61" s="1538"/>
      <c r="AH61" s="1538"/>
      <c r="AI61" s="1538"/>
      <c r="AJ61" s="1538"/>
      <c r="AK61" s="1538"/>
    </row>
    <row r="62" spans="10:37" ht="11.25" x14ac:dyDescent="0.25">
      <c r="J62" s="1540" t="s">
        <v>1137</v>
      </c>
      <c r="K62" s="1535" t="s">
        <v>1147</v>
      </c>
      <c r="L62" s="1539" t="s">
        <v>223</v>
      </c>
      <c r="M62" s="1539"/>
      <c r="N62" s="1537">
        <v>52813317</v>
      </c>
      <c r="O62" s="1538"/>
      <c r="P62" s="1538">
        <v>2019</v>
      </c>
      <c r="Q62" s="1538"/>
      <c r="R62" s="1538"/>
      <c r="S62" s="1538"/>
      <c r="T62" s="1538"/>
      <c r="U62" s="1538"/>
      <c r="V62" s="1538"/>
      <c r="W62" s="1538"/>
      <c r="X62" s="500"/>
      <c r="Y62" s="500">
        <v>0</v>
      </c>
      <c r="Z62" s="1537">
        <v>52813317</v>
      </c>
      <c r="AA62" s="1538"/>
      <c r="AB62" s="1538"/>
      <c r="AC62" s="1537">
        <v>52813317</v>
      </c>
      <c r="AD62" s="1538"/>
      <c r="AE62" s="1538"/>
      <c r="AF62" s="1538"/>
      <c r="AG62" s="1538"/>
      <c r="AH62" s="1538"/>
      <c r="AI62" s="1538"/>
      <c r="AJ62" s="1538"/>
      <c r="AK62" s="1538"/>
    </row>
    <row r="63" spans="10:37" ht="33.75" x14ac:dyDescent="0.25">
      <c r="J63" s="1540" t="s">
        <v>1148</v>
      </c>
      <c r="K63" s="1543" t="s">
        <v>1149</v>
      </c>
      <c r="L63" s="1539" t="s">
        <v>223</v>
      </c>
      <c r="M63" s="1539"/>
      <c r="N63" s="1545">
        <v>44070000</v>
      </c>
      <c r="O63" s="1538"/>
      <c r="P63" s="1538">
        <v>2019</v>
      </c>
      <c r="Q63" s="1538"/>
      <c r="R63" s="1538"/>
      <c r="S63" s="1538"/>
      <c r="T63" s="1538"/>
      <c r="U63" s="1538"/>
      <c r="V63" s="1538"/>
      <c r="W63" s="1538"/>
      <c r="X63" s="500"/>
      <c r="Y63" s="500">
        <v>0</v>
      </c>
      <c r="Z63" s="1545">
        <v>44070000</v>
      </c>
      <c r="AA63" s="1538"/>
      <c r="AB63" s="1538"/>
      <c r="AC63" s="1545">
        <v>44070000</v>
      </c>
      <c r="AD63" s="1538"/>
      <c r="AE63" s="1538"/>
      <c r="AF63" s="1538"/>
      <c r="AG63" s="1538"/>
      <c r="AH63" s="1538"/>
      <c r="AI63" s="1538"/>
      <c r="AJ63" s="1538"/>
      <c r="AK63" s="1538"/>
    </row>
    <row r="64" spans="10:37" ht="22.5" hidden="1" x14ac:dyDescent="0.25">
      <c r="J64" s="1540" t="s">
        <v>1150</v>
      </c>
      <c r="K64" s="1543" t="s">
        <v>1151</v>
      </c>
      <c r="L64" s="1536"/>
      <c r="M64" s="1536"/>
      <c r="N64" s="1545">
        <v>55779834</v>
      </c>
      <c r="O64" s="1538"/>
      <c r="P64" s="1538">
        <v>2019</v>
      </c>
      <c r="Q64" s="1538"/>
      <c r="R64" s="1538"/>
      <c r="S64" s="1538"/>
      <c r="T64" s="1538"/>
      <c r="U64" s="1538"/>
      <c r="V64" s="1538"/>
      <c r="W64" s="1538"/>
      <c r="X64" s="500"/>
      <c r="Y64" s="500">
        <v>0</v>
      </c>
      <c r="Z64" s="1545">
        <v>55779834</v>
      </c>
      <c r="AA64" s="1538"/>
      <c r="AB64" s="1538"/>
      <c r="AC64" s="1545">
        <v>55779834</v>
      </c>
      <c r="AD64" s="1538"/>
      <c r="AE64" s="1538"/>
      <c r="AF64" s="1538"/>
      <c r="AG64" s="1538"/>
      <c r="AH64" s="1538"/>
      <c r="AI64" s="1538"/>
      <c r="AJ64" s="1538"/>
      <c r="AK64" s="1538"/>
    </row>
    <row r="65" spans="10:37" ht="22.5" x14ac:dyDescent="0.25">
      <c r="J65" s="1540" t="s">
        <v>1150</v>
      </c>
      <c r="K65" s="1543" t="s">
        <v>1152</v>
      </c>
      <c r="L65" s="1539" t="s">
        <v>223</v>
      </c>
      <c r="M65" s="1539"/>
      <c r="N65" s="1545">
        <f>51148148-20000000</f>
        <v>31148148</v>
      </c>
      <c r="O65" s="1538"/>
      <c r="P65" s="1538">
        <v>2019</v>
      </c>
      <c r="Q65" s="1538"/>
      <c r="R65" s="1538"/>
      <c r="S65" s="1538"/>
      <c r="T65" s="1538"/>
      <c r="U65" s="1538"/>
      <c r="V65" s="1538"/>
      <c r="W65" s="1538"/>
      <c r="X65" s="500"/>
      <c r="Y65" s="500">
        <v>0</v>
      </c>
      <c r="Z65" s="1545">
        <f>51148148-20000000</f>
        <v>31148148</v>
      </c>
      <c r="AA65" s="1538"/>
      <c r="AB65" s="1538"/>
      <c r="AC65" s="1545">
        <f>51148148-20000000</f>
        <v>31148148</v>
      </c>
      <c r="AD65" s="1538"/>
      <c r="AE65" s="1538"/>
      <c r="AF65" s="1538"/>
      <c r="AG65" s="1538"/>
      <c r="AH65" s="1538"/>
      <c r="AI65" s="1538"/>
      <c r="AJ65" s="1538"/>
      <c r="AK65" s="1538"/>
    </row>
    <row r="66" spans="10:37" ht="33.75" hidden="1" x14ac:dyDescent="0.25">
      <c r="J66" s="1540" t="s">
        <v>1153</v>
      </c>
      <c r="K66" s="1543" t="s">
        <v>1154</v>
      </c>
      <c r="L66" s="1539" t="s">
        <v>428</v>
      </c>
      <c r="M66" s="1539"/>
      <c r="N66" s="1545">
        <v>33262398</v>
      </c>
      <c r="O66" s="1538"/>
      <c r="P66" s="1538">
        <v>2019</v>
      </c>
      <c r="Q66" s="1538"/>
      <c r="R66" s="1538"/>
      <c r="S66" s="1538"/>
      <c r="T66" s="1538"/>
      <c r="U66" s="1538"/>
      <c r="V66" s="1538"/>
      <c r="W66" s="1538"/>
      <c r="X66" s="500"/>
      <c r="Y66" s="500">
        <v>0</v>
      </c>
      <c r="Z66" s="1545">
        <v>33262398</v>
      </c>
      <c r="AA66" s="1538"/>
      <c r="AB66" s="1538"/>
      <c r="AC66" s="1545">
        <v>33262398</v>
      </c>
      <c r="AD66" s="1538"/>
      <c r="AE66" s="1538"/>
      <c r="AF66" s="1538"/>
      <c r="AG66" s="1538"/>
      <c r="AH66" s="1538"/>
      <c r="AI66" s="1538"/>
      <c r="AJ66" s="1538"/>
      <c r="AK66" s="1538"/>
    </row>
    <row r="67" spans="10:37" ht="45" hidden="1" x14ac:dyDescent="0.25">
      <c r="J67" s="1540" t="s">
        <v>1155</v>
      </c>
      <c r="K67" s="1543" t="s">
        <v>1156</v>
      </c>
      <c r="L67" s="1539" t="s">
        <v>1157</v>
      </c>
      <c r="M67" s="1539"/>
      <c r="N67" s="1545">
        <v>298611035</v>
      </c>
      <c r="O67" s="1538"/>
      <c r="P67" s="1538">
        <v>2019</v>
      </c>
      <c r="Q67" s="1538"/>
      <c r="R67" s="1538"/>
      <c r="S67" s="1538"/>
      <c r="T67" s="1538"/>
      <c r="U67" s="1538"/>
      <c r="V67" s="1538"/>
      <c r="W67" s="1538"/>
      <c r="X67" s="500"/>
      <c r="Y67" s="500">
        <v>0</v>
      </c>
      <c r="Z67" s="1545">
        <v>298611035</v>
      </c>
      <c r="AA67" s="1538"/>
      <c r="AB67" s="1538"/>
      <c r="AC67" s="1545">
        <v>298611035</v>
      </c>
      <c r="AD67" s="1538"/>
      <c r="AE67" s="1538"/>
      <c r="AF67" s="1538"/>
      <c r="AG67" s="1538"/>
      <c r="AH67" s="1538"/>
      <c r="AI67" s="1538"/>
      <c r="AJ67" s="1538"/>
      <c r="AK67" s="1538"/>
    </row>
    <row r="68" spans="10:37" ht="45" hidden="1" x14ac:dyDescent="0.25">
      <c r="J68" s="1540" t="s">
        <v>1158</v>
      </c>
      <c r="K68" s="1543" t="s">
        <v>1159</v>
      </c>
      <c r="L68" s="1539" t="s">
        <v>1160</v>
      </c>
      <c r="M68" s="1539"/>
      <c r="N68" s="1545">
        <v>313000000</v>
      </c>
      <c r="O68" s="1538"/>
      <c r="P68" s="1538">
        <v>2019</v>
      </c>
      <c r="Q68" s="1538"/>
      <c r="R68" s="1538"/>
      <c r="S68" s="1538"/>
      <c r="T68" s="1538"/>
      <c r="U68" s="1538"/>
      <c r="V68" s="1538"/>
      <c r="W68" s="1538"/>
      <c r="X68" s="500"/>
      <c r="Y68" s="500">
        <v>0</v>
      </c>
      <c r="Z68" s="1545">
        <v>313000000</v>
      </c>
      <c r="AA68" s="1538"/>
      <c r="AB68" s="1538"/>
      <c r="AC68" s="1545">
        <v>313000000</v>
      </c>
      <c r="AD68" s="1538"/>
      <c r="AE68" s="1538"/>
      <c r="AF68" s="1538"/>
      <c r="AG68" s="1538"/>
      <c r="AH68" s="1538"/>
      <c r="AI68" s="1538"/>
      <c r="AJ68" s="1538"/>
      <c r="AK68" s="1538"/>
    </row>
    <row r="69" spans="10:37" ht="56.25" hidden="1" x14ac:dyDescent="0.25">
      <c r="J69" s="1540" t="s">
        <v>1161</v>
      </c>
      <c r="K69" s="1543" t="s">
        <v>1162</v>
      </c>
      <c r="L69" s="1539" t="s">
        <v>1163</v>
      </c>
      <c r="M69" s="1539"/>
      <c r="N69" s="1545">
        <v>1385000000</v>
      </c>
      <c r="O69" s="1538"/>
      <c r="P69" s="1538">
        <v>2019</v>
      </c>
      <c r="Q69" s="1538"/>
      <c r="R69" s="1538"/>
      <c r="S69" s="1538"/>
      <c r="T69" s="1538"/>
      <c r="U69" s="1538"/>
      <c r="V69" s="1538"/>
      <c r="W69" s="1538"/>
      <c r="X69" s="500"/>
      <c r="Y69" s="500">
        <v>0</v>
      </c>
      <c r="Z69" s="1545">
        <v>1385000000</v>
      </c>
      <c r="AA69" s="1538"/>
      <c r="AB69" s="1538"/>
      <c r="AC69" s="1545">
        <v>1385000000</v>
      </c>
      <c r="AD69" s="1538"/>
      <c r="AE69" s="1538"/>
      <c r="AF69" s="1538"/>
      <c r="AG69" s="1538"/>
      <c r="AH69" s="1538"/>
      <c r="AI69" s="1538"/>
      <c r="AJ69" s="1538"/>
      <c r="AK69" s="1538"/>
    </row>
    <row r="70" spans="10:37" ht="33.75" hidden="1" x14ac:dyDescent="0.25">
      <c r="J70" s="1540" t="s">
        <v>1164</v>
      </c>
      <c r="K70" s="1543" t="s">
        <v>1165</v>
      </c>
      <c r="L70" s="1539" t="s">
        <v>1166</v>
      </c>
      <c r="M70" s="1539"/>
      <c r="N70" s="1545">
        <v>439596133</v>
      </c>
      <c r="O70" s="1538"/>
      <c r="P70" s="1538">
        <v>2019</v>
      </c>
      <c r="Q70" s="1538"/>
      <c r="R70" s="1538"/>
      <c r="S70" s="1538"/>
      <c r="T70" s="1538"/>
      <c r="U70" s="1538"/>
      <c r="V70" s="1538"/>
      <c r="W70" s="1538"/>
      <c r="X70" s="500"/>
      <c r="Y70" s="500">
        <v>0</v>
      </c>
      <c r="Z70" s="1545">
        <v>439596133</v>
      </c>
      <c r="AA70" s="1538"/>
      <c r="AB70" s="1538"/>
      <c r="AC70" s="1545">
        <v>439596133</v>
      </c>
      <c r="AD70" s="1538"/>
      <c r="AE70" s="1538"/>
      <c r="AF70" s="1538"/>
      <c r="AG70" s="1538"/>
      <c r="AH70" s="1538"/>
      <c r="AI70" s="1538"/>
      <c r="AJ70" s="1538"/>
      <c r="AK70" s="1538"/>
    </row>
    <row r="71" spans="10:37" ht="67.5" hidden="1" x14ac:dyDescent="0.25">
      <c r="J71" s="1540" t="s">
        <v>1167</v>
      </c>
      <c r="K71" s="1543" t="s">
        <v>1168</v>
      </c>
      <c r="L71" s="1539" t="s">
        <v>1169</v>
      </c>
      <c r="M71" s="1539"/>
      <c r="N71" s="1545">
        <v>699455000</v>
      </c>
      <c r="O71" s="1538"/>
      <c r="P71" s="1538">
        <v>2019</v>
      </c>
      <c r="Q71" s="1538"/>
      <c r="R71" s="1538"/>
      <c r="S71" s="1538"/>
      <c r="T71" s="1538"/>
      <c r="U71" s="1538"/>
      <c r="V71" s="1538"/>
      <c r="W71" s="1538"/>
      <c r="X71" s="500"/>
      <c r="Y71" s="500">
        <v>0</v>
      </c>
      <c r="Z71" s="1545">
        <v>699455000</v>
      </c>
      <c r="AA71" s="1538"/>
      <c r="AB71" s="1538"/>
      <c r="AC71" s="1545">
        <v>699455000</v>
      </c>
      <c r="AD71" s="1538"/>
      <c r="AE71" s="1538"/>
      <c r="AF71" s="1538"/>
      <c r="AG71" s="1538"/>
      <c r="AH71" s="1538"/>
      <c r="AI71" s="1538"/>
      <c r="AJ71" s="1538"/>
      <c r="AK71" s="1538"/>
    </row>
  </sheetData>
  <autoFilter ref="A3:AB71">
    <filterColumn colId="10">
      <filters>
        <filter val="Kopshti &quot;Babrru Qender&quot; Paskuqan, Kamez"/>
        <filter val="Kopshti &quot;Bathore nr.1&quot;, Kamez"/>
        <filter val="Kopshti &quot;Frutikulture&quot;, Kamez"/>
        <filter val="Kopshti &quot;Fushe Kerciku&quot; Paskuqan, Kamez"/>
        <filter val="Kopshti &quot;Kulla e Vorbsit&quot; Laknas Kamez"/>
        <filter val="Kopshti &quot;Lagja Lure&quot; Laknas Kamez"/>
        <filter val="Kopshti Paskuqan, Kamez"/>
        <filter val="Ndertim i kopshteve tip ne fshatrat Sovjan NJA Pirg, Sheqeras NJA Vreshtas, Drithas NJA Libonik"/>
        <filter val="ndertim i kopshtit nr.1, Lagja 11 shkurti, Kucove"/>
        <filter val="Ndertim i ri i shkolles 9-vjecare &quot;Adem Sabli&quot;, Borake, NjAd Xhafzotaj"/>
        <filter val="Ndertim i ri i shkolles 9-vjecare &quot;Rilindja&quot;, fshati Sallmone, NjAd.Xhafzotaj"/>
        <filter val="Ndertim i shk. 9-vjecare Sheze, NJA Sheze"/>
        <filter val="Ndertim i shkolles 9-vjecare &quot;Vesel Brama&quot; Kurcaj, NJA Nikel"/>
        <filter val="Ndertim i shkolles 9-vjecare Golem Kavaje"/>
        <filter val="Ndertim i shkolles 9-vjecer &quot;Gjok Doci&quot;, fshati Dames"/>
        <filter val="Ndertim kopesht me dreke+cerdhe , Bashkia Shijak"/>
        <filter val="Ndertim shkolla 9-vjecare, Zvirine"/>
        <filter val="Rikonstruksion i kopshtit nr.1, Memaliaj"/>
        <filter val="Rikonstruksion i kopshtit nr.8, Korce"/>
        <filter val="Rikonstruksion I kopshtit Roskovec"/>
        <filter val="Rikonstruksion i kopshtit te femijeve Libohove"/>
        <filter val="Rikonstruksion i korpusit dhe vitalizimi i ambjenteve dhe terreneve sportive te shk. 9-vjecare &quot;A.Sheme&quot; Sarande"/>
        <filter val="Rikonstruksion i plote i shkolles 9-vjecare &quot;Niko Alesi&quot; Qeparo"/>
        <filter val="Rikonstruksion i shk 9-vjecare &quot;Dritero Agolli &quot;"/>
        <filter val="Rikonstruksion i shkolles 9-vjecare &quot;70 vjetori i Pavaresise&quot;"/>
        <filter val="Rikonstruksion i shkolles 9-vjecare &quot;Hysen Xheka&quot; +ambjente sportive, Nj.Ad. Karbunare"/>
        <filter val="Rikonstruksion i shkolles 9-vjecare &quot;Jorgji Dilo&quot; Elbasan"/>
        <filter val="Rikonstruksion i shkolles 9-vjecare &quot;Kozma Ndrecka&quot;, Rreth Libofshe"/>
        <filter val="Rikonstruksion i shkolles 9-vjecare &quot;Memo Nexhipi', fshati Dukaj (Fusha sportive)"/>
        <filter val="rikonstruksion i shkolles 9-vjecare &quot;Pinellopi Piro&quot; Fier"/>
        <filter val="Rikonstruksion i shkolles 9-vjecare &quot;Sulejman Rramca&quot;, njad. Labinot"/>
        <filter val="Rikonstruksion I shkolles 9-vjecare Firze"/>
        <filter val="Rikonstruksion i shkolles 9-vjecare Karbunare e Vogel"/>
        <filter val="Rikonstruksion i shkolles 9-vjecare Tregtan, njad. Fajza"/>
        <filter val="Rikonstruksion I shkolles 9-vjecare Velmisht"/>
        <filter val="Rikonstruksion i shkolles 9-vjecare, Kolosjan"/>
        <filter val="Rikonstruksion i shkolles 9-vjecare+palester+ambjente te jashtme sportive &quot;Lidhja e Prizerenit&quot;, Shijak"/>
        <filter val="Rikonstruksion i shkolles 9-vjecare+palester+ambjente te jashtme sportive &quot;Petrit Llaftiu&quot;, Shijak"/>
        <filter val="Rikonstruksion i shkolles se bashkuar &quot;Kole Martini&quot;, Dedaj,  M.Madhe"/>
        <filter val="Rikonstruksion i shkollws 9-vjecare Cerruje"/>
        <filter val="Rikonstruksion shkolla9-vjecare &quot;Nuci Naci&quot; +shtese per palester+bodrum Korce"/>
        <filter val="Rindertim i shkolles &quot;Jusuf Puka&quot; Durres"/>
        <filter val="Shkolla 9-vjecare &quot;Halit Coka&quot; Bathore Kamez"/>
        <filter val="Shkolla 9-vjecare &quot;Kulla e Vorbsit&quot; Laknas Kamez"/>
        <filter val="Shkolla 9-vjecare Paskuqan, Kamez"/>
      </filters>
    </filterColumn>
    <filterColumn colId="18" showButton="0"/>
    <filterColumn colId="21" showButton="0"/>
  </autoFilter>
  <mergeCells count="7">
    <mergeCell ref="AF1:AH1"/>
    <mergeCell ref="AI1:AK1"/>
    <mergeCell ref="S3:T3"/>
    <mergeCell ref="V3:W3"/>
    <mergeCell ref="K1:K2"/>
    <mergeCell ref="Z1:AB1"/>
    <mergeCell ref="AC1:AE1"/>
  </mergeCells>
  <printOptions horizontalCentered="1"/>
  <pageMargins left="0" right="0" top="0.23622047244094491" bottom="0.23622047244094491" header="0" footer="0"/>
  <pageSetup scale="80" orientation="landscape" r:id="rId1"/>
  <headerFooter>
    <oddFooter>&amp;L&amp;"-,Italic"&amp;6&amp;F&amp;R&amp;"-,Italic"&amp;8Faqe &amp;P nga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92"/>
  <sheetViews>
    <sheetView topLeftCell="J25" zoomScale="99" zoomScaleNormal="99" workbookViewId="0">
      <selection activeCell="J45" sqref="J45"/>
    </sheetView>
  </sheetViews>
  <sheetFormatPr defaultColWidth="9.140625" defaultRowHeight="8.25" x14ac:dyDescent="0.25"/>
  <cols>
    <col min="1" max="3" width="5.140625" style="401" hidden="1" customWidth="1"/>
    <col min="4" max="4" width="5.7109375" style="402" hidden="1" customWidth="1"/>
    <col min="5" max="5" width="2.85546875" style="404" hidden="1" customWidth="1"/>
    <col min="6" max="6" width="2.42578125" style="401" hidden="1" customWidth="1"/>
    <col min="7" max="7" width="1.85546875" style="401" hidden="1" customWidth="1"/>
    <col min="8" max="8" width="2.42578125" style="401" hidden="1" customWidth="1"/>
    <col min="9" max="9" width="3" style="401" hidden="1" customWidth="1"/>
    <col min="10" max="10" width="29.7109375" style="403" customWidth="1"/>
    <col min="11" max="11" width="5.42578125" style="401" customWidth="1"/>
    <col min="12" max="12" width="9.5703125" style="401" customWidth="1"/>
    <col min="13" max="13" width="0.140625" style="401" customWidth="1"/>
    <col min="14" max="14" width="3.28515625" style="401" customWidth="1"/>
    <col min="15" max="15" width="0.140625" style="401" hidden="1" customWidth="1"/>
    <col min="16" max="16" width="5.140625" style="401" hidden="1" customWidth="1"/>
    <col min="17" max="17" width="6.85546875" style="401" hidden="1" customWidth="1"/>
    <col min="18" max="18" width="5.7109375" style="401" hidden="1" customWidth="1"/>
    <col min="19" max="20" width="5.140625" style="401" hidden="1" customWidth="1"/>
    <col min="21" max="21" width="3.7109375" style="401" hidden="1" customWidth="1"/>
    <col min="22" max="22" width="13.7109375" style="402" hidden="1" customWidth="1"/>
    <col min="23" max="23" width="9.7109375" style="402" customWidth="1"/>
    <col min="24" max="24" width="9.28515625" style="401" customWidth="1"/>
    <col min="25" max="25" width="9.7109375" style="401" customWidth="1"/>
    <col min="26" max="26" width="10" style="401" customWidth="1"/>
    <col min="27" max="29" width="9.5703125" style="401" customWidth="1"/>
    <col min="30" max="32" width="8.85546875" style="401" customWidth="1"/>
    <col min="33" max="35" width="3.28515625" style="401" customWidth="1"/>
    <col min="36" max="16384" width="9.140625" style="401"/>
  </cols>
  <sheetData>
    <row r="1" spans="1:35" ht="19.899999999999999" customHeight="1" x14ac:dyDescent="0.25">
      <c r="A1" s="566"/>
      <c r="B1" s="566"/>
      <c r="C1" s="566"/>
      <c r="D1" s="568"/>
      <c r="E1" s="566"/>
      <c r="F1" s="566"/>
      <c r="G1" s="567"/>
      <c r="H1" s="566"/>
      <c r="I1" s="567"/>
      <c r="J1" s="3190" t="s">
        <v>148</v>
      </c>
      <c r="K1" s="567"/>
      <c r="L1" s="565"/>
      <c r="M1" s="565"/>
      <c r="N1" s="566"/>
      <c r="O1" s="566"/>
      <c r="P1" s="565"/>
      <c r="Q1" s="565"/>
      <c r="R1" s="565"/>
      <c r="S1" s="565"/>
      <c r="T1" s="564"/>
      <c r="U1" s="564"/>
      <c r="V1" s="564"/>
      <c r="W1" s="563"/>
      <c r="X1" s="3192" t="s">
        <v>149</v>
      </c>
      <c r="Y1" s="3193"/>
      <c r="Z1" s="3194"/>
      <c r="AA1" s="3195" t="s">
        <v>150</v>
      </c>
      <c r="AB1" s="3196"/>
      <c r="AC1" s="3197"/>
      <c r="AD1" s="3182" t="s">
        <v>151</v>
      </c>
      <c r="AE1" s="3183"/>
      <c r="AF1" s="3184"/>
      <c r="AG1" s="3185" t="s">
        <v>152</v>
      </c>
      <c r="AH1" s="3186"/>
      <c r="AI1" s="3187"/>
    </row>
    <row r="2" spans="1:35" s="524" customFormat="1" ht="9" customHeight="1" x14ac:dyDescent="0.25">
      <c r="B2" s="560"/>
      <c r="C2" s="560" t="s">
        <v>153</v>
      </c>
      <c r="D2" s="562"/>
      <c r="E2" s="560"/>
      <c r="F2" s="560"/>
      <c r="G2" s="561"/>
      <c r="H2" s="560"/>
      <c r="I2" s="561"/>
      <c r="J2" s="3191"/>
      <c r="K2" s="561"/>
      <c r="L2" s="559"/>
      <c r="M2" s="559"/>
      <c r="N2" s="560"/>
      <c r="O2" s="560"/>
      <c r="P2" s="559"/>
      <c r="Q2" s="559"/>
      <c r="R2" s="559"/>
      <c r="S2" s="559"/>
      <c r="T2" s="558">
        <f t="shared" ref="T2:AI2" si="0">T5+T18+T54+T72+T83+T86</f>
        <v>1357858093</v>
      </c>
      <c r="U2" s="558">
        <f t="shared" si="0"/>
        <v>952168383</v>
      </c>
      <c r="V2" s="558">
        <f t="shared" si="0"/>
        <v>3834000000</v>
      </c>
      <c r="W2" s="555">
        <f t="shared" si="0"/>
        <v>3834000000</v>
      </c>
      <c r="X2" s="557">
        <f t="shared" si="0"/>
        <v>4134000000</v>
      </c>
      <c r="Y2" s="557">
        <f t="shared" si="0"/>
        <v>5034000000</v>
      </c>
      <c r="Z2" s="556">
        <f t="shared" si="0"/>
        <v>4534000000</v>
      </c>
      <c r="AA2" s="555">
        <f t="shared" si="0"/>
        <v>3834000000</v>
      </c>
      <c r="AB2" s="554">
        <f t="shared" si="0"/>
        <v>4734000000</v>
      </c>
      <c r="AC2" s="553">
        <f t="shared" si="0"/>
        <v>4234000000</v>
      </c>
      <c r="AD2" s="552">
        <f t="shared" si="0"/>
        <v>300000000</v>
      </c>
      <c r="AE2" s="551">
        <f t="shared" si="0"/>
        <v>300000000</v>
      </c>
      <c r="AF2" s="550">
        <f t="shared" si="0"/>
        <v>300000000</v>
      </c>
      <c r="AG2" s="549">
        <f t="shared" si="0"/>
        <v>0</v>
      </c>
      <c r="AH2" s="548">
        <f t="shared" si="0"/>
        <v>0</v>
      </c>
      <c r="AI2" s="547">
        <f t="shared" si="0"/>
        <v>0</v>
      </c>
    </row>
    <row r="3" spans="1:35" ht="28.5" customHeight="1" x14ac:dyDescent="0.25">
      <c r="A3" s="543" t="s">
        <v>154</v>
      </c>
      <c r="B3" s="544" t="s">
        <v>155</v>
      </c>
      <c r="C3" s="544" t="s">
        <v>156</v>
      </c>
      <c r="D3" s="544" t="s">
        <v>157</v>
      </c>
      <c r="E3" s="546" t="s">
        <v>158</v>
      </c>
      <c r="F3" s="546" t="s">
        <v>159</v>
      </c>
      <c r="G3" s="544" t="s">
        <v>160</v>
      </c>
      <c r="H3" s="546" t="s">
        <v>161</v>
      </c>
      <c r="I3" s="544" t="s">
        <v>98</v>
      </c>
      <c r="J3" s="545" t="s">
        <v>162</v>
      </c>
      <c r="K3" s="544" t="s">
        <v>98</v>
      </c>
      <c r="L3" s="543" t="s">
        <v>163</v>
      </c>
      <c r="M3" s="543" t="s">
        <v>164</v>
      </c>
      <c r="N3" s="542" t="s">
        <v>165</v>
      </c>
      <c r="O3" s="542" t="s">
        <v>166</v>
      </c>
      <c r="P3" s="541" t="s">
        <v>167</v>
      </c>
      <c r="Q3" s="3188" t="s">
        <v>168</v>
      </c>
      <c r="R3" s="3189"/>
      <c r="S3" s="541" t="s">
        <v>169</v>
      </c>
      <c r="T3" s="3188" t="s">
        <v>170</v>
      </c>
      <c r="U3" s="3189"/>
      <c r="V3" s="435" t="s">
        <v>171</v>
      </c>
      <c r="W3" s="540" t="s">
        <v>570</v>
      </c>
      <c r="X3" s="540" t="s">
        <v>173</v>
      </c>
      <c r="Y3" s="539" t="s">
        <v>174</v>
      </c>
      <c r="Z3" s="539" t="s">
        <v>175</v>
      </c>
      <c r="AA3" s="538" t="s">
        <v>173</v>
      </c>
      <c r="AB3" s="537" t="s">
        <v>174</v>
      </c>
      <c r="AC3" s="537" t="s">
        <v>175</v>
      </c>
      <c r="AD3" s="536" t="s">
        <v>173</v>
      </c>
      <c r="AE3" s="535" t="s">
        <v>174</v>
      </c>
      <c r="AF3" s="535" t="s">
        <v>175</v>
      </c>
      <c r="AG3" s="534" t="s">
        <v>173</v>
      </c>
      <c r="AH3" s="533" t="s">
        <v>174</v>
      </c>
      <c r="AI3" s="533" t="s">
        <v>175</v>
      </c>
    </row>
    <row r="4" spans="1:35" s="524" customFormat="1" x14ac:dyDescent="0.25">
      <c r="A4" s="426" t="s">
        <v>176</v>
      </c>
      <c r="B4" s="428">
        <v>11</v>
      </c>
      <c r="C4" s="428"/>
      <c r="D4" s="428"/>
      <c r="E4" s="427"/>
      <c r="F4" s="426"/>
      <c r="G4" s="426"/>
      <c r="H4" s="427"/>
      <c r="I4" s="426"/>
      <c r="J4" s="532"/>
      <c r="K4" s="426"/>
      <c r="L4" s="422">
        <f t="shared" ref="L4:AI4" si="1">L5+L18+L54+L72+L83+L86</f>
        <v>17188434754</v>
      </c>
      <c r="M4" s="422">
        <f t="shared" si="1"/>
        <v>7395158699</v>
      </c>
      <c r="N4" s="422">
        <f t="shared" si="1"/>
        <v>0</v>
      </c>
      <c r="O4" s="422">
        <f t="shared" si="1"/>
        <v>0</v>
      </c>
      <c r="P4" s="422">
        <f t="shared" si="1"/>
        <v>569231737</v>
      </c>
      <c r="Q4" s="422">
        <f t="shared" si="1"/>
        <v>1558993146</v>
      </c>
      <c r="R4" s="422">
        <f t="shared" si="1"/>
        <v>1397546675</v>
      </c>
      <c r="S4" s="422">
        <f t="shared" si="1"/>
        <v>3035102996</v>
      </c>
      <c r="T4" s="422">
        <f t="shared" si="1"/>
        <v>1357858093</v>
      </c>
      <c r="U4" s="422">
        <f t="shared" si="1"/>
        <v>952168383</v>
      </c>
      <c r="V4" s="422">
        <f t="shared" si="1"/>
        <v>3834000000</v>
      </c>
      <c r="W4" s="423">
        <f t="shared" si="1"/>
        <v>3834000000</v>
      </c>
      <c r="X4" s="531">
        <f t="shared" si="1"/>
        <v>4134000000</v>
      </c>
      <c r="Y4" s="531">
        <f t="shared" si="1"/>
        <v>5034000000</v>
      </c>
      <c r="Z4" s="531">
        <f t="shared" si="1"/>
        <v>4534000000</v>
      </c>
      <c r="AA4" s="530">
        <f t="shared" si="1"/>
        <v>3834000000</v>
      </c>
      <c r="AB4" s="530">
        <f t="shared" si="1"/>
        <v>4734000000</v>
      </c>
      <c r="AC4" s="530">
        <f t="shared" si="1"/>
        <v>4234000000</v>
      </c>
      <c r="AD4" s="529">
        <f t="shared" si="1"/>
        <v>300000000</v>
      </c>
      <c r="AE4" s="529">
        <f t="shared" si="1"/>
        <v>300000000</v>
      </c>
      <c r="AF4" s="529">
        <f t="shared" si="1"/>
        <v>300000000</v>
      </c>
      <c r="AG4" s="528">
        <f t="shared" si="1"/>
        <v>0</v>
      </c>
      <c r="AH4" s="528">
        <f t="shared" si="1"/>
        <v>0</v>
      </c>
      <c r="AI4" s="528">
        <f t="shared" si="1"/>
        <v>0</v>
      </c>
    </row>
    <row r="5" spans="1:35" s="524" customFormat="1" ht="13.15" customHeight="1" x14ac:dyDescent="0.25">
      <c r="A5" s="426" t="s">
        <v>177</v>
      </c>
      <c r="B5" s="428">
        <v>11</v>
      </c>
      <c r="C5" s="428"/>
      <c r="D5" s="3198" t="s">
        <v>178</v>
      </c>
      <c r="E5" s="3199"/>
      <c r="F5" s="427" t="s">
        <v>144</v>
      </c>
      <c r="G5" s="426"/>
      <c r="H5" s="427"/>
      <c r="I5" s="426"/>
      <c r="J5" s="3198" t="s">
        <v>178</v>
      </c>
      <c r="K5" s="3199"/>
      <c r="L5" s="527">
        <f>SUM(L6:L17)</f>
        <v>240793032</v>
      </c>
      <c r="M5" s="527">
        <f>SUM(M6:M10)</f>
        <v>69099442</v>
      </c>
      <c r="N5" s="428"/>
      <c r="O5" s="428"/>
      <c r="P5" s="422">
        <f>SUM(P6:P10)</f>
        <v>465042</v>
      </c>
      <c r="Q5" s="422">
        <f>SUM(Q6:Q10)</f>
        <v>24750000</v>
      </c>
      <c r="R5" s="422">
        <f>SUM(R6:R10)</f>
        <v>23818800</v>
      </c>
      <c r="S5" s="422">
        <f>SUM(S6:S10)</f>
        <v>43884400</v>
      </c>
      <c r="T5" s="422">
        <f>SUBTOTAL(9,T6:T11)</f>
        <v>31405723</v>
      </c>
      <c r="U5" s="422">
        <f>SUBTOTAL(9,U6:U11)</f>
        <v>26253723</v>
      </c>
      <c r="V5" s="422">
        <f t="shared" ref="V5:AI5" si="2">SUBTOTAL(9,V6:V17)</f>
        <v>72000000</v>
      </c>
      <c r="W5" s="423">
        <f t="shared" si="2"/>
        <v>72000000</v>
      </c>
      <c r="X5" s="526">
        <f t="shared" si="2"/>
        <v>52000000</v>
      </c>
      <c r="Y5" s="526">
        <f t="shared" si="2"/>
        <v>55000000</v>
      </c>
      <c r="Z5" s="526">
        <f t="shared" si="2"/>
        <v>55000000</v>
      </c>
      <c r="AA5" s="421">
        <f t="shared" si="2"/>
        <v>52000000</v>
      </c>
      <c r="AB5" s="421">
        <f t="shared" si="2"/>
        <v>55000000</v>
      </c>
      <c r="AC5" s="421">
        <f t="shared" si="2"/>
        <v>55000000</v>
      </c>
      <c r="AD5" s="421">
        <f t="shared" si="2"/>
        <v>0</v>
      </c>
      <c r="AE5" s="421">
        <f t="shared" si="2"/>
        <v>0</v>
      </c>
      <c r="AF5" s="421">
        <f t="shared" si="2"/>
        <v>0</v>
      </c>
      <c r="AG5" s="525">
        <f t="shared" si="2"/>
        <v>0</v>
      </c>
      <c r="AH5" s="525">
        <f t="shared" si="2"/>
        <v>0</v>
      </c>
      <c r="AI5" s="525">
        <f t="shared" si="2"/>
        <v>0</v>
      </c>
    </row>
    <row r="6" spans="1:35" ht="33" x14ac:dyDescent="0.25">
      <c r="A6" s="430" t="s">
        <v>179</v>
      </c>
      <c r="B6" s="431" t="s">
        <v>180</v>
      </c>
      <c r="C6" s="413">
        <v>1011001</v>
      </c>
      <c r="D6" s="412" t="s">
        <v>181</v>
      </c>
      <c r="E6" s="431" t="s">
        <v>182</v>
      </c>
      <c r="F6" s="431" t="s">
        <v>144</v>
      </c>
      <c r="G6" s="431" t="s">
        <v>183</v>
      </c>
      <c r="H6" s="430">
        <v>3535</v>
      </c>
      <c r="I6" s="431" t="s">
        <v>184</v>
      </c>
      <c r="J6" s="417" t="s">
        <v>185</v>
      </c>
      <c r="K6" s="431" t="s">
        <v>184</v>
      </c>
      <c r="L6" s="405">
        <f t="shared" ref="L6:L16" si="3">P6+R6+U6+V6+X6+Z6</f>
        <v>56363523</v>
      </c>
      <c r="M6" s="416">
        <v>30599582</v>
      </c>
      <c r="N6" s="415" t="s">
        <v>186</v>
      </c>
      <c r="O6" s="415" t="s">
        <v>187</v>
      </c>
      <c r="P6" s="406">
        <v>0</v>
      </c>
      <c r="Q6" s="406">
        <v>13000000</v>
      </c>
      <c r="R6" s="406">
        <v>12068800</v>
      </c>
      <c r="S6" s="406">
        <f>M6-P6-Q6</f>
        <v>17599582</v>
      </c>
      <c r="T6" s="406">
        <f>17094982-259</f>
        <v>17094723</v>
      </c>
      <c r="U6" s="406">
        <v>17094723</v>
      </c>
      <c r="V6" s="406">
        <v>7200000</v>
      </c>
      <c r="W6" s="406">
        <v>7200000</v>
      </c>
      <c r="X6" s="406">
        <v>10000000</v>
      </c>
      <c r="Y6" s="406">
        <v>10000000</v>
      </c>
      <c r="Z6" s="406">
        <v>10000000</v>
      </c>
      <c r="AA6" s="405">
        <v>10000000</v>
      </c>
      <c r="AB6" s="405">
        <v>10000000</v>
      </c>
      <c r="AC6" s="405">
        <v>10000000</v>
      </c>
      <c r="AD6" s="405"/>
      <c r="AE6" s="405"/>
      <c r="AF6" s="405"/>
      <c r="AG6" s="405"/>
      <c r="AH6" s="405"/>
      <c r="AI6" s="405"/>
    </row>
    <row r="7" spans="1:35" ht="15.75" customHeight="1" x14ac:dyDescent="0.25">
      <c r="A7" s="430" t="s">
        <v>179</v>
      </c>
      <c r="B7" s="431" t="s">
        <v>180</v>
      </c>
      <c r="C7" s="413">
        <v>1011001</v>
      </c>
      <c r="D7" s="412" t="s">
        <v>181</v>
      </c>
      <c r="E7" s="431" t="s">
        <v>182</v>
      </c>
      <c r="F7" s="431" t="s">
        <v>144</v>
      </c>
      <c r="G7" s="431" t="s">
        <v>183</v>
      </c>
      <c r="H7" s="430">
        <v>3535</v>
      </c>
      <c r="I7" s="431" t="s">
        <v>188</v>
      </c>
      <c r="J7" s="417" t="s">
        <v>189</v>
      </c>
      <c r="K7" s="431" t="s">
        <v>188</v>
      </c>
      <c r="L7" s="405">
        <f t="shared" si="3"/>
        <v>82754275</v>
      </c>
      <c r="M7" s="416">
        <v>12465042</v>
      </c>
      <c r="N7" s="415" t="s">
        <v>186</v>
      </c>
      <c r="O7" s="415" t="s">
        <v>187</v>
      </c>
      <c r="P7" s="406">
        <v>465042</v>
      </c>
      <c r="Q7" s="406">
        <v>1500000</v>
      </c>
      <c r="R7" s="406">
        <v>1500000</v>
      </c>
      <c r="S7" s="406">
        <f>M7-P7-Q7</f>
        <v>10500000</v>
      </c>
      <c r="T7" s="406">
        <f>2366000-55000</f>
        <v>2311000</v>
      </c>
      <c r="U7" s="406">
        <v>0</v>
      </c>
      <c r="V7" s="406">
        <v>15289233</v>
      </c>
      <c r="W7" s="406">
        <v>15285409</v>
      </c>
      <c r="X7" s="406">
        <v>22000000</v>
      </c>
      <c r="Y7" s="406">
        <v>43500000</v>
      </c>
      <c r="Z7" s="406">
        <v>43500000</v>
      </c>
      <c r="AA7" s="405">
        <v>22000000</v>
      </c>
      <c r="AB7" s="405">
        <v>43500000</v>
      </c>
      <c r="AC7" s="405">
        <v>43500000</v>
      </c>
      <c r="AD7" s="405"/>
      <c r="AE7" s="405"/>
      <c r="AF7" s="405"/>
      <c r="AG7" s="405"/>
      <c r="AH7" s="405"/>
      <c r="AI7" s="405"/>
    </row>
    <row r="8" spans="1:35" ht="15" customHeight="1" x14ac:dyDescent="0.25">
      <c r="A8" s="430" t="s">
        <v>179</v>
      </c>
      <c r="B8" s="431" t="s">
        <v>180</v>
      </c>
      <c r="C8" s="413">
        <v>1011001</v>
      </c>
      <c r="D8" s="412" t="s">
        <v>181</v>
      </c>
      <c r="E8" s="431" t="s">
        <v>182</v>
      </c>
      <c r="F8" s="431" t="s">
        <v>144</v>
      </c>
      <c r="G8" s="431" t="s">
        <v>183</v>
      </c>
      <c r="H8" s="430">
        <v>3535</v>
      </c>
      <c r="I8" s="430" t="s">
        <v>190</v>
      </c>
      <c r="J8" s="417" t="s">
        <v>191</v>
      </c>
      <c r="K8" s="430" t="s">
        <v>190</v>
      </c>
      <c r="L8" s="405">
        <f t="shared" si="3"/>
        <v>3057000</v>
      </c>
      <c r="M8" s="416"/>
      <c r="N8" s="415" t="s">
        <v>192</v>
      </c>
      <c r="O8" s="415" t="s">
        <v>187</v>
      </c>
      <c r="P8" s="406">
        <v>0</v>
      </c>
      <c r="Q8" s="406">
        <v>0</v>
      </c>
      <c r="R8" s="406">
        <v>0</v>
      </c>
      <c r="S8" s="406"/>
      <c r="T8" s="406">
        <v>0</v>
      </c>
      <c r="U8" s="406"/>
      <c r="V8" s="406">
        <v>1557000</v>
      </c>
      <c r="W8" s="406">
        <v>1557000</v>
      </c>
      <c r="X8" s="406">
        <v>0</v>
      </c>
      <c r="Y8" s="406">
        <v>1500000</v>
      </c>
      <c r="Z8" s="406">
        <v>1500000</v>
      </c>
      <c r="AA8" s="405">
        <v>0</v>
      </c>
      <c r="AB8" s="405">
        <v>1500000</v>
      </c>
      <c r="AC8" s="405">
        <v>1500000</v>
      </c>
      <c r="AD8" s="405"/>
      <c r="AE8" s="405"/>
      <c r="AF8" s="405"/>
      <c r="AG8" s="405"/>
      <c r="AH8" s="405"/>
      <c r="AI8" s="405"/>
    </row>
    <row r="9" spans="1:35" ht="18.75" customHeight="1" x14ac:dyDescent="0.25">
      <c r="A9" s="430" t="s">
        <v>179</v>
      </c>
      <c r="B9" s="431">
        <v>11</v>
      </c>
      <c r="C9" s="413" t="s">
        <v>193</v>
      </c>
      <c r="D9" s="412" t="s">
        <v>194</v>
      </c>
      <c r="E9" s="431" t="s">
        <v>182</v>
      </c>
      <c r="F9" s="431" t="s">
        <v>144</v>
      </c>
      <c r="G9" s="431" t="s">
        <v>183</v>
      </c>
      <c r="H9" s="456" t="s">
        <v>195</v>
      </c>
      <c r="I9" s="431" t="s">
        <v>196</v>
      </c>
      <c r="J9" s="417" t="s">
        <v>197</v>
      </c>
      <c r="K9" s="431" t="s">
        <v>196</v>
      </c>
      <c r="L9" s="405">
        <f t="shared" si="3"/>
        <v>5752246</v>
      </c>
      <c r="M9" s="416">
        <f>3500000+2840626</f>
        <v>6340626</v>
      </c>
      <c r="N9" s="415" t="s">
        <v>186</v>
      </c>
      <c r="O9" s="415" t="s">
        <v>186</v>
      </c>
      <c r="P9" s="406">
        <v>0</v>
      </c>
      <c r="Q9" s="406">
        <v>3500000</v>
      </c>
      <c r="R9" s="406">
        <v>3500000</v>
      </c>
      <c r="S9" s="406">
        <f>M9-P9-R9</f>
        <v>2840626</v>
      </c>
      <c r="T9" s="406">
        <v>2841000</v>
      </c>
      <c r="U9" s="406">
        <v>0</v>
      </c>
      <c r="V9" s="406">
        <v>2252246</v>
      </c>
      <c r="W9" s="406">
        <v>2256070</v>
      </c>
      <c r="X9" s="500"/>
      <c r="Y9" s="500"/>
      <c r="Z9" s="500"/>
      <c r="AA9" s="499"/>
      <c r="AB9" s="499"/>
      <c r="AC9" s="499"/>
      <c r="AD9" s="499"/>
      <c r="AE9" s="499"/>
      <c r="AF9" s="499"/>
      <c r="AG9" s="499"/>
      <c r="AH9" s="499"/>
      <c r="AI9" s="499"/>
    </row>
    <row r="10" spans="1:35" ht="18.75" customHeight="1" x14ac:dyDescent="0.25">
      <c r="A10" s="430" t="s">
        <v>179</v>
      </c>
      <c r="B10" s="431">
        <v>11</v>
      </c>
      <c r="C10" s="413" t="s">
        <v>198</v>
      </c>
      <c r="D10" s="412" t="s">
        <v>199</v>
      </c>
      <c r="E10" s="431" t="s">
        <v>182</v>
      </c>
      <c r="F10" s="431" t="s">
        <v>144</v>
      </c>
      <c r="G10" s="431" t="s">
        <v>183</v>
      </c>
      <c r="H10" s="430">
        <v>2026</v>
      </c>
      <c r="I10" s="431" t="s">
        <v>200</v>
      </c>
      <c r="J10" s="417" t="s">
        <v>201</v>
      </c>
      <c r="K10" s="431" t="s">
        <v>200</v>
      </c>
      <c r="L10" s="406">
        <f t="shared" si="3"/>
        <v>19694000</v>
      </c>
      <c r="M10" s="416">
        <v>19694192</v>
      </c>
      <c r="N10" s="415" t="s">
        <v>186</v>
      </c>
      <c r="O10" s="415" t="s">
        <v>192</v>
      </c>
      <c r="P10" s="406">
        <v>0</v>
      </c>
      <c r="Q10" s="406">
        <v>6750000</v>
      </c>
      <c r="R10" s="406">
        <v>6750000</v>
      </c>
      <c r="S10" s="406">
        <f>M10-P10-R10</f>
        <v>12944192</v>
      </c>
      <c r="T10" s="406">
        <f>12944000-2944000-841000</f>
        <v>9159000</v>
      </c>
      <c r="U10" s="523">
        <v>9159000</v>
      </c>
      <c r="V10" s="518">
        <v>3785000</v>
      </c>
      <c r="W10" s="518">
        <v>3785000</v>
      </c>
      <c r="X10" s="500"/>
      <c r="Y10" s="500"/>
      <c r="Z10" s="500"/>
      <c r="AA10" s="499"/>
      <c r="AB10" s="499"/>
      <c r="AC10" s="499"/>
      <c r="AD10" s="499"/>
      <c r="AE10" s="499"/>
      <c r="AF10" s="499"/>
      <c r="AG10" s="499"/>
      <c r="AH10" s="499"/>
      <c r="AI10" s="499"/>
    </row>
    <row r="11" spans="1:35" ht="17.25" customHeight="1" x14ac:dyDescent="0.25">
      <c r="A11" s="409" t="s">
        <v>179</v>
      </c>
      <c r="B11" s="410">
        <v>11</v>
      </c>
      <c r="C11" s="413">
        <v>1011001</v>
      </c>
      <c r="D11" s="412" t="s">
        <v>181</v>
      </c>
      <c r="E11" s="410" t="s">
        <v>182</v>
      </c>
      <c r="F11" s="410" t="s">
        <v>144</v>
      </c>
      <c r="G11" s="410" t="s">
        <v>183</v>
      </c>
      <c r="H11" s="409" t="s">
        <v>202</v>
      </c>
      <c r="I11" s="431" t="s">
        <v>203</v>
      </c>
      <c r="J11" s="417" t="s">
        <v>204</v>
      </c>
      <c r="K11" s="431" t="s">
        <v>203</v>
      </c>
      <c r="L11" s="406">
        <f t="shared" si="3"/>
        <v>40000000</v>
      </c>
      <c r="M11" s="429"/>
      <c r="N11" s="415" t="s">
        <v>205</v>
      </c>
      <c r="O11" s="415" t="s">
        <v>187</v>
      </c>
      <c r="P11" s="406"/>
      <c r="Q11" s="406"/>
      <c r="R11" s="406"/>
      <c r="S11" s="406">
        <v>0</v>
      </c>
      <c r="T11" s="406">
        <v>0</v>
      </c>
      <c r="U11" s="406"/>
      <c r="V11" s="517">
        <v>20000000</v>
      </c>
      <c r="W11" s="517">
        <v>20000000</v>
      </c>
      <c r="X11" s="406">
        <v>20000000</v>
      </c>
      <c r="Y11" s="406"/>
      <c r="Z11" s="406"/>
      <c r="AA11" s="405">
        <v>20000000</v>
      </c>
      <c r="AB11" s="405"/>
      <c r="AC11" s="405"/>
      <c r="AD11" s="405"/>
      <c r="AE11" s="405"/>
      <c r="AF11" s="405"/>
      <c r="AG11" s="405"/>
      <c r="AH11" s="405"/>
      <c r="AI11" s="405"/>
    </row>
    <row r="12" spans="1:35" ht="15" customHeight="1" x14ac:dyDescent="0.25">
      <c r="A12" s="409" t="s">
        <v>179</v>
      </c>
      <c r="B12" s="410">
        <v>11</v>
      </c>
      <c r="C12" s="413">
        <v>1011001</v>
      </c>
      <c r="D12" s="412" t="s">
        <v>181</v>
      </c>
      <c r="E12" s="410" t="s">
        <v>182</v>
      </c>
      <c r="F12" s="410" t="s">
        <v>144</v>
      </c>
      <c r="G12" s="410" t="s">
        <v>183</v>
      </c>
      <c r="H12" s="409" t="s">
        <v>202</v>
      </c>
      <c r="I12" s="431" t="s">
        <v>206</v>
      </c>
      <c r="J12" s="417" t="s">
        <v>207</v>
      </c>
      <c r="K12" s="431" t="s">
        <v>206</v>
      </c>
      <c r="L12" s="406">
        <f t="shared" si="3"/>
        <v>1800000</v>
      </c>
      <c r="M12" s="517">
        <v>1800000</v>
      </c>
      <c r="N12" s="415" t="s">
        <v>205</v>
      </c>
      <c r="O12" s="415" t="s">
        <v>187</v>
      </c>
      <c r="P12" s="406"/>
      <c r="Q12" s="406"/>
      <c r="R12" s="406"/>
      <c r="S12" s="406"/>
      <c r="T12" s="406"/>
      <c r="U12" s="406"/>
      <c r="V12" s="517">
        <v>1800000</v>
      </c>
      <c r="W12" s="517">
        <v>1800000</v>
      </c>
      <c r="X12" s="406">
        <v>0</v>
      </c>
      <c r="Y12" s="406">
        <v>0</v>
      </c>
      <c r="Z12" s="406">
        <v>0</v>
      </c>
      <c r="AA12" s="405">
        <v>0</v>
      </c>
      <c r="AB12" s="405">
        <v>0</v>
      </c>
      <c r="AC12" s="405">
        <v>0</v>
      </c>
      <c r="AD12" s="405"/>
      <c r="AE12" s="405"/>
      <c r="AF12" s="405"/>
      <c r="AG12" s="405"/>
      <c r="AH12" s="405"/>
      <c r="AI12" s="405"/>
    </row>
    <row r="13" spans="1:35" ht="12" customHeight="1" x14ac:dyDescent="0.25">
      <c r="A13" s="430" t="s">
        <v>179</v>
      </c>
      <c r="B13" s="431">
        <v>11</v>
      </c>
      <c r="C13" s="522">
        <v>1011018</v>
      </c>
      <c r="D13" s="412" t="s">
        <v>208</v>
      </c>
      <c r="E13" s="431" t="s">
        <v>182</v>
      </c>
      <c r="F13" s="431" t="s">
        <v>144</v>
      </c>
      <c r="G13" s="431" t="s">
        <v>183</v>
      </c>
      <c r="H13" s="456" t="s">
        <v>209</v>
      </c>
      <c r="I13" s="431" t="s">
        <v>203</v>
      </c>
      <c r="J13" s="417" t="s">
        <v>210</v>
      </c>
      <c r="K13" s="431" t="s">
        <v>203</v>
      </c>
      <c r="L13" s="406">
        <f t="shared" si="3"/>
        <v>2950000</v>
      </c>
      <c r="M13" s="518">
        <v>2950000</v>
      </c>
      <c r="N13" s="415" t="s">
        <v>205</v>
      </c>
      <c r="O13" s="415" t="s">
        <v>205</v>
      </c>
      <c r="P13" s="406">
        <v>0</v>
      </c>
      <c r="Q13" s="406"/>
      <c r="R13" s="406"/>
      <c r="S13" s="406"/>
      <c r="T13" s="406"/>
      <c r="U13" s="406"/>
      <c r="V13" s="518">
        <v>2950000</v>
      </c>
      <c r="W13" s="518">
        <v>2950000</v>
      </c>
      <c r="X13" s="406">
        <v>0</v>
      </c>
      <c r="Y13" s="406">
        <v>0</v>
      </c>
      <c r="Z13" s="406">
        <v>0</v>
      </c>
      <c r="AA13" s="405">
        <v>0</v>
      </c>
      <c r="AB13" s="405">
        <v>0</v>
      </c>
      <c r="AC13" s="405">
        <v>0</v>
      </c>
      <c r="AD13" s="405">
        <v>0</v>
      </c>
      <c r="AE13" s="405">
        <v>0</v>
      </c>
      <c r="AF13" s="405">
        <v>0</v>
      </c>
      <c r="AG13" s="405">
        <v>0</v>
      </c>
      <c r="AH13" s="405">
        <v>0</v>
      </c>
      <c r="AI13" s="405">
        <v>0</v>
      </c>
    </row>
    <row r="14" spans="1:35" ht="12" customHeight="1" x14ac:dyDescent="0.25">
      <c r="A14" s="430" t="s">
        <v>179</v>
      </c>
      <c r="B14" s="431">
        <v>11</v>
      </c>
      <c r="C14" s="522">
        <v>1011133</v>
      </c>
      <c r="D14" s="521" t="s">
        <v>211</v>
      </c>
      <c r="E14" s="431" t="s">
        <v>182</v>
      </c>
      <c r="F14" s="431" t="s">
        <v>144</v>
      </c>
      <c r="G14" s="431" t="s">
        <v>183</v>
      </c>
      <c r="H14" s="456" t="s">
        <v>212</v>
      </c>
      <c r="I14" s="431" t="s">
        <v>203</v>
      </c>
      <c r="J14" s="417" t="s">
        <v>213</v>
      </c>
      <c r="K14" s="431" t="s">
        <v>203</v>
      </c>
      <c r="L14" s="406">
        <f t="shared" si="3"/>
        <v>2400000</v>
      </c>
      <c r="M14" s="518">
        <v>2400000</v>
      </c>
      <c r="N14" s="415" t="s">
        <v>205</v>
      </c>
      <c r="O14" s="415" t="s">
        <v>205</v>
      </c>
      <c r="P14" s="406">
        <v>0</v>
      </c>
      <c r="Q14" s="406"/>
      <c r="R14" s="406"/>
      <c r="S14" s="406"/>
      <c r="T14" s="406"/>
      <c r="U14" s="406"/>
      <c r="V14" s="518">
        <v>2400000</v>
      </c>
      <c r="W14" s="518">
        <v>2400000</v>
      </c>
      <c r="X14" s="406">
        <v>0</v>
      </c>
      <c r="Y14" s="406">
        <v>0</v>
      </c>
      <c r="Z14" s="406">
        <v>0</v>
      </c>
      <c r="AA14" s="405">
        <v>0</v>
      </c>
      <c r="AB14" s="405">
        <v>0</v>
      </c>
      <c r="AC14" s="405">
        <v>0</v>
      </c>
      <c r="AD14" s="405">
        <v>0</v>
      </c>
      <c r="AE14" s="405">
        <v>0</v>
      </c>
      <c r="AF14" s="405">
        <v>0</v>
      </c>
      <c r="AG14" s="405">
        <v>0</v>
      </c>
      <c r="AH14" s="405">
        <v>0</v>
      </c>
      <c r="AI14" s="405">
        <v>0</v>
      </c>
    </row>
    <row r="15" spans="1:35" ht="12" customHeight="1" x14ac:dyDescent="0.25">
      <c r="A15" s="430" t="s">
        <v>179</v>
      </c>
      <c r="B15" s="431">
        <v>11</v>
      </c>
      <c r="C15" s="522">
        <v>1011111</v>
      </c>
      <c r="D15" s="521" t="s">
        <v>214</v>
      </c>
      <c r="E15" s="431" t="s">
        <v>182</v>
      </c>
      <c r="F15" s="431" t="s">
        <v>144</v>
      </c>
      <c r="G15" s="431" t="s">
        <v>183</v>
      </c>
      <c r="H15" s="456" t="s">
        <v>215</v>
      </c>
      <c r="I15" s="431" t="s">
        <v>203</v>
      </c>
      <c r="J15" s="417" t="s">
        <v>216</v>
      </c>
      <c r="K15" s="431" t="s">
        <v>203</v>
      </c>
      <c r="L15" s="406">
        <f t="shared" si="3"/>
        <v>1903000</v>
      </c>
      <c r="M15" s="518">
        <v>1903000</v>
      </c>
      <c r="N15" s="415" t="s">
        <v>205</v>
      </c>
      <c r="O15" s="415" t="s">
        <v>205</v>
      </c>
      <c r="P15" s="406">
        <v>0</v>
      </c>
      <c r="Q15" s="406"/>
      <c r="R15" s="406"/>
      <c r="S15" s="406"/>
      <c r="T15" s="406"/>
      <c r="U15" s="406"/>
      <c r="V15" s="518">
        <v>1903000</v>
      </c>
      <c r="W15" s="518">
        <v>1903000</v>
      </c>
      <c r="X15" s="406">
        <v>0</v>
      </c>
      <c r="Y15" s="406">
        <v>0</v>
      </c>
      <c r="Z15" s="406">
        <v>0</v>
      </c>
      <c r="AA15" s="405">
        <v>0</v>
      </c>
      <c r="AB15" s="405">
        <v>0</v>
      </c>
      <c r="AC15" s="405">
        <v>0</v>
      </c>
      <c r="AD15" s="405">
        <v>0</v>
      </c>
      <c r="AE15" s="405">
        <v>0</v>
      </c>
      <c r="AF15" s="405">
        <v>0</v>
      </c>
      <c r="AG15" s="405">
        <v>0</v>
      </c>
      <c r="AH15" s="405">
        <v>0</v>
      </c>
      <c r="AI15" s="405">
        <v>0</v>
      </c>
    </row>
    <row r="16" spans="1:35" ht="12" customHeight="1" x14ac:dyDescent="0.25">
      <c r="A16" s="430" t="s">
        <v>179</v>
      </c>
      <c r="B16" s="431">
        <v>11</v>
      </c>
      <c r="C16" s="522">
        <v>1011088</v>
      </c>
      <c r="D16" s="521" t="s">
        <v>217</v>
      </c>
      <c r="E16" s="431" t="s">
        <v>182</v>
      </c>
      <c r="F16" s="431" t="s">
        <v>144</v>
      </c>
      <c r="G16" s="431" t="s">
        <v>183</v>
      </c>
      <c r="H16" s="456" t="s">
        <v>218</v>
      </c>
      <c r="I16" s="431" t="s">
        <v>203</v>
      </c>
      <c r="J16" s="417" t="s">
        <v>219</v>
      </c>
      <c r="K16" s="431" t="s">
        <v>203</v>
      </c>
      <c r="L16" s="406">
        <f t="shared" si="3"/>
        <v>2863521</v>
      </c>
      <c r="M16" s="518">
        <v>2863521</v>
      </c>
      <c r="N16" s="415" t="s">
        <v>205</v>
      </c>
      <c r="O16" s="415" t="s">
        <v>205</v>
      </c>
      <c r="P16" s="406">
        <v>0</v>
      </c>
      <c r="Q16" s="406"/>
      <c r="R16" s="406"/>
      <c r="S16" s="406"/>
      <c r="T16" s="406"/>
      <c r="U16" s="406"/>
      <c r="V16" s="518">
        <v>2863521</v>
      </c>
      <c r="W16" s="518">
        <v>2863521</v>
      </c>
      <c r="X16" s="406">
        <v>0</v>
      </c>
      <c r="Y16" s="406">
        <v>0</v>
      </c>
      <c r="Z16" s="406">
        <v>0</v>
      </c>
      <c r="AA16" s="405">
        <v>0</v>
      </c>
      <c r="AB16" s="405">
        <v>0</v>
      </c>
      <c r="AC16" s="405">
        <v>0</v>
      </c>
      <c r="AD16" s="405">
        <v>0</v>
      </c>
      <c r="AE16" s="405">
        <v>0</v>
      </c>
      <c r="AF16" s="405">
        <v>0</v>
      </c>
      <c r="AG16" s="405">
        <v>0</v>
      </c>
      <c r="AH16" s="405">
        <v>0</v>
      </c>
      <c r="AI16" s="405">
        <v>0</v>
      </c>
    </row>
    <row r="17" spans="1:35" ht="12" customHeight="1" x14ac:dyDescent="0.25">
      <c r="A17" s="430" t="s">
        <v>179</v>
      </c>
      <c r="B17" s="431">
        <v>11</v>
      </c>
      <c r="C17" s="520">
        <v>1011036</v>
      </c>
      <c r="D17" s="519" t="s">
        <v>220</v>
      </c>
      <c r="E17" s="431" t="s">
        <v>182</v>
      </c>
      <c r="F17" s="431" t="s">
        <v>144</v>
      </c>
      <c r="G17" s="431">
        <v>2310000</v>
      </c>
      <c r="H17" s="430">
        <v>3535</v>
      </c>
      <c r="I17" s="431" t="s">
        <v>203</v>
      </c>
      <c r="J17" s="455" t="s">
        <v>221</v>
      </c>
      <c r="K17" s="431" t="s">
        <v>203</v>
      </c>
      <c r="L17" s="406">
        <v>21255467</v>
      </c>
      <c r="M17" s="518">
        <v>10000000</v>
      </c>
      <c r="N17" s="415" t="s">
        <v>205</v>
      </c>
      <c r="O17" s="415" t="s">
        <v>205</v>
      </c>
      <c r="P17" s="406"/>
      <c r="Q17" s="406"/>
      <c r="R17" s="406"/>
      <c r="S17" s="406"/>
      <c r="T17" s="406"/>
      <c r="U17" s="406"/>
      <c r="V17" s="518">
        <v>10000000</v>
      </c>
      <c r="W17" s="517">
        <v>10000000</v>
      </c>
      <c r="X17" s="406">
        <v>0</v>
      </c>
      <c r="Y17" s="406">
        <v>0</v>
      </c>
      <c r="Z17" s="406">
        <v>0</v>
      </c>
      <c r="AA17" s="405">
        <v>0</v>
      </c>
      <c r="AB17" s="405">
        <v>0</v>
      </c>
      <c r="AC17" s="405">
        <v>0</v>
      </c>
      <c r="AD17" s="405">
        <v>0</v>
      </c>
      <c r="AE17" s="405">
        <v>0</v>
      </c>
      <c r="AF17" s="405">
        <v>0</v>
      </c>
      <c r="AG17" s="405">
        <v>0</v>
      </c>
      <c r="AH17" s="405">
        <v>0</v>
      </c>
      <c r="AI17" s="405">
        <v>0</v>
      </c>
    </row>
    <row r="18" spans="1:35" s="402" customFormat="1" ht="33" x14ac:dyDescent="0.25">
      <c r="A18" s="426" t="s">
        <v>177</v>
      </c>
      <c r="B18" s="428">
        <v>11</v>
      </c>
      <c r="C18" s="428"/>
      <c r="D18" s="426" t="s">
        <v>222</v>
      </c>
      <c r="E18" s="427"/>
      <c r="F18" s="427" t="s">
        <v>223</v>
      </c>
      <c r="G18" s="426"/>
      <c r="H18" s="427"/>
      <c r="I18" s="426"/>
      <c r="J18" s="425" t="s">
        <v>222</v>
      </c>
      <c r="K18" s="424" t="s">
        <v>223</v>
      </c>
      <c r="L18" s="422">
        <f t="shared" ref="L18:AI18" si="4">SUBTOTAL(9,L19:L53)</f>
        <v>7520691713</v>
      </c>
      <c r="M18" s="422">
        <f t="shared" si="4"/>
        <v>2780417864</v>
      </c>
      <c r="N18" s="422">
        <f t="shared" si="4"/>
        <v>0</v>
      </c>
      <c r="O18" s="422">
        <f t="shared" si="4"/>
        <v>0</v>
      </c>
      <c r="P18" s="422">
        <f t="shared" si="4"/>
        <v>0</v>
      </c>
      <c r="Q18" s="422">
        <f t="shared" si="4"/>
        <v>404435540</v>
      </c>
      <c r="R18" s="422">
        <f t="shared" si="4"/>
        <v>288578302</v>
      </c>
      <c r="S18" s="422">
        <f t="shared" si="4"/>
        <v>644460865</v>
      </c>
      <c r="T18" s="422">
        <f t="shared" si="4"/>
        <v>974265370</v>
      </c>
      <c r="U18" s="422">
        <f t="shared" si="4"/>
        <v>770377155</v>
      </c>
      <c r="V18" s="422">
        <f t="shared" si="4"/>
        <v>1757947000</v>
      </c>
      <c r="W18" s="423">
        <f t="shared" si="4"/>
        <v>1757947000</v>
      </c>
      <c r="X18" s="422">
        <f t="shared" si="4"/>
        <v>1270000000</v>
      </c>
      <c r="Y18" s="422">
        <f t="shared" si="4"/>
        <v>1937000000</v>
      </c>
      <c r="Z18" s="422">
        <f t="shared" si="4"/>
        <v>1637000000</v>
      </c>
      <c r="AA18" s="421">
        <f t="shared" si="4"/>
        <v>1270000000</v>
      </c>
      <c r="AB18" s="421">
        <f t="shared" si="4"/>
        <v>1937000000</v>
      </c>
      <c r="AC18" s="421">
        <f t="shared" si="4"/>
        <v>1637000000</v>
      </c>
      <c r="AD18" s="421">
        <f t="shared" si="4"/>
        <v>0</v>
      </c>
      <c r="AE18" s="421">
        <f t="shared" si="4"/>
        <v>0</v>
      </c>
      <c r="AF18" s="421">
        <f t="shared" si="4"/>
        <v>0</v>
      </c>
      <c r="AG18" s="421">
        <f t="shared" si="4"/>
        <v>0</v>
      </c>
      <c r="AH18" s="421">
        <f t="shared" si="4"/>
        <v>0</v>
      </c>
      <c r="AI18" s="421">
        <f t="shared" si="4"/>
        <v>0</v>
      </c>
    </row>
    <row r="19" spans="1:35" s="402" customFormat="1" ht="30" customHeight="1" x14ac:dyDescent="0.25">
      <c r="A19" s="409" t="s">
        <v>179</v>
      </c>
      <c r="B19" s="410" t="s">
        <v>180</v>
      </c>
      <c r="C19" s="413">
        <v>1011001</v>
      </c>
      <c r="D19" s="412" t="s">
        <v>181</v>
      </c>
      <c r="E19" s="410" t="s">
        <v>182</v>
      </c>
      <c r="F19" s="410" t="s">
        <v>223</v>
      </c>
      <c r="G19" s="410">
        <v>2310000</v>
      </c>
      <c r="H19" s="409">
        <v>3535</v>
      </c>
      <c r="I19" s="498" t="s">
        <v>224</v>
      </c>
      <c r="J19" s="417" t="s">
        <v>225</v>
      </c>
      <c r="K19" s="498" t="s">
        <v>224</v>
      </c>
      <c r="L19" s="405">
        <f t="shared" ref="L19:L25" si="5">V19+X19+Y19+Z19</f>
        <v>3511000000</v>
      </c>
      <c r="M19" s="406">
        <v>240000000</v>
      </c>
      <c r="N19" s="415" t="s">
        <v>205</v>
      </c>
      <c r="O19" s="415" t="s">
        <v>187</v>
      </c>
      <c r="P19" s="406">
        <v>0</v>
      </c>
      <c r="Q19" s="406">
        <v>15210744</v>
      </c>
      <c r="R19" s="406">
        <v>15210744</v>
      </c>
      <c r="S19" s="406"/>
      <c r="T19" s="516">
        <f>165076000-100000000</f>
        <v>65076000</v>
      </c>
      <c r="U19" s="423"/>
      <c r="V19" s="406">
        <f>267000000</f>
        <v>267000000</v>
      </c>
      <c r="W19" s="406">
        <f>398396810+27000000</f>
        <v>425396810</v>
      </c>
      <c r="X19" s="406">
        <f>680000000</f>
        <v>680000000</v>
      </c>
      <c r="Y19" s="406">
        <v>1417000000</v>
      </c>
      <c r="Z19" s="406">
        <v>1147000000</v>
      </c>
      <c r="AA19" s="405">
        <f>680000000</f>
        <v>680000000</v>
      </c>
      <c r="AB19" s="405">
        <v>1417000000</v>
      </c>
      <c r="AC19" s="405">
        <v>1147000000</v>
      </c>
      <c r="AD19" s="405"/>
      <c r="AE19" s="405"/>
      <c r="AF19" s="405"/>
      <c r="AG19" s="405"/>
      <c r="AH19" s="405"/>
      <c r="AI19" s="405"/>
    </row>
    <row r="20" spans="1:35" s="402" customFormat="1" ht="33" x14ac:dyDescent="0.25">
      <c r="A20" s="409" t="s">
        <v>179</v>
      </c>
      <c r="B20" s="410" t="s">
        <v>180</v>
      </c>
      <c r="C20" s="413">
        <v>1011001</v>
      </c>
      <c r="D20" s="412" t="s">
        <v>181</v>
      </c>
      <c r="E20" s="410" t="s">
        <v>182</v>
      </c>
      <c r="F20" s="410" t="s">
        <v>223</v>
      </c>
      <c r="G20" s="410">
        <v>2310000</v>
      </c>
      <c r="H20" s="409">
        <v>3535</v>
      </c>
      <c r="I20" s="498" t="s">
        <v>226</v>
      </c>
      <c r="J20" s="417" t="s">
        <v>227</v>
      </c>
      <c r="K20" s="498" t="s">
        <v>226</v>
      </c>
      <c r="L20" s="405">
        <f t="shared" si="5"/>
        <v>1506550414</v>
      </c>
      <c r="M20" s="406">
        <f>250000000+43436249+19574317-6460152</f>
        <v>306550414</v>
      </c>
      <c r="N20" s="415" t="s">
        <v>205</v>
      </c>
      <c r="O20" s="415" t="s">
        <v>187</v>
      </c>
      <c r="P20" s="406">
        <v>0</v>
      </c>
      <c r="Q20" s="406">
        <v>0</v>
      </c>
      <c r="R20" s="406">
        <v>0</v>
      </c>
      <c r="S20" s="406"/>
      <c r="T20" s="423">
        <f>430232000+59000000-2400000+40000000-514515476-12000000</f>
        <v>316524</v>
      </c>
      <c r="U20" s="423"/>
      <c r="V20" s="406">
        <f>250000000+43436249+19574317-6460152</f>
        <v>306550414</v>
      </c>
      <c r="W20" s="406">
        <v>150000000</v>
      </c>
      <c r="X20" s="406">
        <v>400000000</v>
      </c>
      <c r="Y20" s="406">
        <v>400000000</v>
      </c>
      <c r="Z20" s="406">
        <v>400000000</v>
      </c>
      <c r="AA20" s="405">
        <v>400000000</v>
      </c>
      <c r="AB20" s="405">
        <v>400000000</v>
      </c>
      <c r="AC20" s="405">
        <v>400000000</v>
      </c>
      <c r="AD20" s="405"/>
      <c r="AE20" s="405"/>
      <c r="AF20" s="405"/>
      <c r="AG20" s="405"/>
      <c r="AH20" s="405"/>
      <c r="AI20" s="405"/>
    </row>
    <row r="21" spans="1:35" ht="11.45" customHeight="1" x14ac:dyDescent="0.25">
      <c r="A21" s="409" t="s">
        <v>179</v>
      </c>
      <c r="B21" s="410" t="s">
        <v>180</v>
      </c>
      <c r="C21" s="413">
        <v>1011001</v>
      </c>
      <c r="D21" s="412" t="s">
        <v>181</v>
      </c>
      <c r="E21" s="410" t="s">
        <v>182</v>
      </c>
      <c r="F21" s="410" t="s">
        <v>223</v>
      </c>
      <c r="G21" s="410">
        <v>2310000</v>
      </c>
      <c r="H21" s="409">
        <v>3535</v>
      </c>
      <c r="I21" s="431" t="s">
        <v>188</v>
      </c>
      <c r="J21" s="417" t="s">
        <v>189</v>
      </c>
      <c r="K21" s="431" t="s">
        <v>188</v>
      </c>
      <c r="L21" s="405">
        <f t="shared" si="5"/>
        <v>80000000</v>
      </c>
      <c r="M21" s="406">
        <v>80000000</v>
      </c>
      <c r="N21" s="415" t="s">
        <v>205</v>
      </c>
      <c r="O21" s="415" t="s">
        <v>187</v>
      </c>
      <c r="P21" s="406"/>
      <c r="Q21" s="406"/>
      <c r="R21" s="406"/>
      <c r="S21" s="406"/>
      <c r="T21" s="406"/>
      <c r="U21" s="406"/>
      <c r="V21" s="406">
        <v>80000000</v>
      </c>
      <c r="W21" s="406">
        <v>80000000</v>
      </c>
      <c r="X21" s="406">
        <v>0</v>
      </c>
      <c r="Y21" s="406">
        <v>0</v>
      </c>
      <c r="Z21" s="406">
        <v>0</v>
      </c>
      <c r="AA21" s="405">
        <v>0</v>
      </c>
      <c r="AB21" s="405">
        <v>0</v>
      </c>
      <c r="AC21" s="405">
        <v>0</v>
      </c>
      <c r="AD21" s="405"/>
      <c r="AE21" s="405"/>
      <c r="AF21" s="405"/>
      <c r="AG21" s="405"/>
      <c r="AH21" s="405"/>
      <c r="AI21" s="405"/>
    </row>
    <row r="22" spans="1:35" ht="11.45" customHeight="1" x14ac:dyDescent="0.25">
      <c r="A22" s="430" t="s">
        <v>179</v>
      </c>
      <c r="B22" s="431" t="s">
        <v>180</v>
      </c>
      <c r="C22" s="413">
        <v>1011001</v>
      </c>
      <c r="D22" s="412" t="s">
        <v>181</v>
      </c>
      <c r="E22" s="431" t="s">
        <v>182</v>
      </c>
      <c r="F22" s="431" t="s">
        <v>223</v>
      </c>
      <c r="G22" s="431">
        <v>2310000</v>
      </c>
      <c r="H22" s="430">
        <v>3535</v>
      </c>
      <c r="I22" s="431" t="s">
        <v>228</v>
      </c>
      <c r="J22" s="417" t="s">
        <v>229</v>
      </c>
      <c r="K22" s="431" t="s">
        <v>228</v>
      </c>
      <c r="L22" s="405">
        <f t="shared" si="5"/>
        <v>270000000</v>
      </c>
      <c r="M22" s="406">
        <v>60000000</v>
      </c>
      <c r="N22" s="415" t="s">
        <v>205</v>
      </c>
      <c r="O22" s="415" t="s">
        <v>187</v>
      </c>
      <c r="P22" s="406">
        <v>0</v>
      </c>
      <c r="Q22" s="406">
        <v>75000000</v>
      </c>
      <c r="R22" s="406">
        <v>75000000</v>
      </c>
      <c r="S22" s="406"/>
      <c r="T22" s="406">
        <v>50000000</v>
      </c>
      <c r="U22" s="406"/>
      <c r="V22" s="406">
        <v>60000000</v>
      </c>
      <c r="W22" s="406">
        <v>60000000</v>
      </c>
      <c r="X22" s="406">
        <v>50000000</v>
      </c>
      <c r="Y22" s="406">
        <v>80000000</v>
      </c>
      <c r="Z22" s="406">
        <v>80000000</v>
      </c>
      <c r="AA22" s="405">
        <v>50000000</v>
      </c>
      <c r="AB22" s="405">
        <v>80000000</v>
      </c>
      <c r="AC22" s="405">
        <v>80000000</v>
      </c>
      <c r="AD22" s="405"/>
      <c r="AE22" s="405"/>
      <c r="AF22" s="405"/>
      <c r="AG22" s="405"/>
      <c r="AH22" s="405"/>
      <c r="AI22" s="405"/>
    </row>
    <row r="23" spans="1:35" ht="11.45" customHeight="1" x14ac:dyDescent="0.25">
      <c r="A23" s="430" t="s">
        <v>179</v>
      </c>
      <c r="B23" s="431" t="s">
        <v>180</v>
      </c>
      <c r="C23" s="413">
        <v>1011001</v>
      </c>
      <c r="D23" s="412" t="s">
        <v>181</v>
      </c>
      <c r="E23" s="431" t="s">
        <v>182</v>
      </c>
      <c r="F23" s="431" t="s">
        <v>223</v>
      </c>
      <c r="G23" s="431">
        <v>2310000</v>
      </c>
      <c r="H23" s="430" t="s">
        <v>202</v>
      </c>
      <c r="I23" s="431" t="s">
        <v>230</v>
      </c>
      <c r="J23" s="417" t="s">
        <v>231</v>
      </c>
      <c r="K23" s="431" t="s">
        <v>230</v>
      </c>
      <c r="L23" s="405">
        <f t="shared" si="5"/>
        <v>33000000</v>
      </c>
      <c r="M23" s="406">
        <v>3000000</v>
      </c>
      <c r="N23" s="415" t="s">
        <v>205</v>
      </c>
      <c r="O23" s="415" t="s">
        <v>187</v>
      </c>
      <c r="P23" s="406">
        <v>0</v>
      </c>
      <c r="Q23" s="406">
        <v>10000000</v>
      </c>
      <c r="R23" s="406">
        <v>10000000</v>
      </c>
      <c r="S23" s="406"/>
      <c r="T23" s="406">
        <v>0</v>
      </c>
      <c r="U23" s="406"/>
      <c r="V23" s="406">
        <v>3000000</v>
      </c>
      <c r="W23" s="406">
        <v>10000000</v>
      </c>
      <c r="X23" s="406">
        <v>10000000</v>
      </c>
      <c r="Y23" s="406">
        <v>10000000</v>
      </c>
      <c r="Z23" s="406">
        <v>10000000</v>
      </c>
      <c r="AA23" s="405">
        <v>10000000</v>
      </c>
      <c r="AB23" s="405">
        <v>10000000</v>
      </c>
      <c r="AC23" s="405">
        <v>10000000</v>
      </c>
      <c r="AD23" s="405"/>
      <c r="AE23" s="405"/>
      <c r="AF23" s="405"/>
      <c r="AG23" s="405"/>
      <c r="AH23" s="405"/>
      <c r="AI23" s="405"/>
    </row>
    <row r="24" spans="1:35" ht="14.25" customHeight="1" x14ac:dyDescent="0.25">
      <c r="A24" s="430" t="s">
        <v>179</v>
      </c>
      <c r="B24" s="431" t="s">
        <v>180</v>
      </c>
      <c r="C24" s="413">
        <v>1011001</v>
      </c>
      <c r="D24" s="412" t="s">
        <v>181</v>
      </c>
      <c r="E24" s="431" t="s">
        <v>182</v>
      </c>
      <c r="F24" s="431" t="s">
        <v>223</v>
      </c>
      <c r="G24" s="431" t="s">
        <v>183</v>
      </c>
      <c r="H24" s="430">
        <v>3535</v>
      </c>
      <c r="I24" s="431" t="s">
        <v>232</v>
      </c>
      <c r="J24" s="417" t="s">
        <v>233</v>
      </c>
      <c r="K24" s="431" t="s">
        <v>232</v>
      </c>
      <c r="L24" s="405">
        <f t="shared" si="5"/>
        <v>100000000</v>
      </c>
      <c r="M24" s="406">
        <v>40000000</v>
      </c>
      <c r="N24" s="415" t="s">
        <v>205</v>
      </c>
      <c r="O24" s="415" t="s">
        <v>187</v>
      </c>
      <c r="P24" s="406">
        <v>0</v>
      </c>
      <c r="Q24" s="406">
        <v>40000000</v>
      </c>
      <c r="R24" s="406">
        <v>40000000</v>
      </c>
      <c r="S24" s="406"/>
      <c r="T24" s="406">
        <v>0</v>
      </c>
      <c r="U24" s="406"/>
      <c r="V24" s="406">
        <v>40000000</v>
      </c>
      <c r="W24" s="406">
        <v>40000000</v>
      </c>
      <c r="X24" s="406">
        <v>30000000</v>
      </c>
      <c r="Y24" s="406">
        <v>30000000</v>
      </c>
      <c r="Z24" s="406">
        <v>0</v>
      </c>
      <c r="AA24" s="405">
        <v>30000000</v>
      </c>
      <c r="AB24" s="405">
        <v>30000000</v>
      </c>
      <c r="AC24" s="405"/>
      <c r="AD24" s="405"/>
      <c r="AE24" s="405"/>
      <c r="AF24" s="405"/>
      <c r="AG24" s="405"/>
      <c r="AH24" s="405"/>
      <c r="AI24" s="405"/>
    </row>
    <row r="25" spans="1:35" ht="12.6" customHeight="1" x14ac:dyDescent="0.25">
      <c r="A25" s="430"/>
      <c r="B25" s="431" t="s">
        <v>180</v>
      </c>
      <c r="C25" s="413">
        <v>1011001</v>
      </c>
      <c r="D25" s="412" t="s">
        <v>181</v>
      </c>
      <c r="E25" s="431" t="s">
        <v>182</v>
      </c>
      <c r="F25" s="431" t="s">
        <v>223</v>
      </c>
      <c r="G25" s="431" t="s">
        <v>183</v>
      </c>
      <c r="H25" s="430">
        <v>3535</v>
      </c>
      <c r="I25" s="431" t="s">
        <v>234</v>
      </c>
      <c r="J25" s="455" t="s">
        <v>235</v>
      </c>
      <c r="K25" s="431" t="s">
        <v>234</v>
      </c>
      <c r="L25" s="405">
        <f t="shared" si="5"/>
        <v>30000000</v>
      </c>
      <c r="M25" s="406">
        <v>30000000</v>
      </c>
      <c r="N25" s="415" t="s">
        <v>205</v>
      </c>
      <c r="O25" s="415" t="s">
        <v>205</v>
      </c>
      <c r="P25" s="406"/>
      <c r="Q25" s="406"/>
      <c r="R25" s="406"/>
      <c r="S25" s="406"/>
      <c r="T25" s="406"/>
      <c r="U25" s="406"/>
      <c r="V25" s="406">
        <v>30000000</v>
      </c>
      <c r="W25" s="406">
        <v>30000000</v>
      </c>
      <c r="X25" s="406"/>
      <c r="Y25" s="406"/>
      <c r="Z25" s="406"/>
      <c r="AA25" s="405"/>
      <c r="AB25" s="405"/>
      <c r="AC25" s="405"/>
      <c r="AD25" s="405"/>
      <c r="AE25" s="405"/>
      <c r="AF25" s="405"/>
      <c r="AG25" s="405"/>
      <c r="AH25" s="405"/>
      <c r="AI25" s="405"/>
    </row>
    <row r="26" spans="1:35" ht="16.5" x14ac:dyDescent="0.25">
      <c r="A26" s="465" t="s">
        <v>236</v>
      </c>
      <c r="B26" s="476" t="s">
        <v>180</v>
      </c>
      <c r="C26" s="465" t="s">
        <v>237</v>
      </c>
      <c r="D26" s="478" t="s">
        <v>238</v>
      </c>
      <c r="E26" s="482" t="s">
        <v>182</v>
      </c>
      <c r="F26" s="514" t="s">
        <v>223</v>
      </c>
      <c r="G26" s="483">
        <v>2310000</v>
      </c>
      <c r="H26" s="502" t="s">
        <v>218</v>
      </c>
      <c r="I26" s="480" t="s">
        <v>239</v>
      </c>
      <c r="J26" s="493" t="s">
        <v>240</v>
      </c>
      <c r="K26" s="480" t="s">
        <v>239</v>
      </c>
      <c r="L26" s="406">
        <f t="shared" ref="L26:L53" si="6">P26+R26+U26+V26+X26+Y26+Z26</f>
        <v>21963807</v>
      </c>
      <c r="M26" s="416">
        <v>21963807</v>
      </c>
      <c r="N26" s="415" t="s">
        <v>192</v>
      </c>
      <c r="O26" s="415" t="s">
        <v>205</v>
      </c>
      <c r="P26" s="406"/>
      <c r="Q26" s="406"/>
      <c r="R26" s="406"/>
      <c r="S26" s="406"/>
      <c r="T26" s="467">
        <v>11155865</v>
      </c>
      <c r="U26" s="467">
        <v>11155865</v>
      </c>
      <c r="V26" s="406">
        <f t="shared" ref="V26:V47" si="7">M26-P26-R26-U26</f>
        <v>10807942</v>
      </c>
      <c r="W26" s="406">
        <v>10807942</v>
      </c>
      <c r="X26" s="406"/>
      <c r="Y26" s="406"/>
      <c r="Z26" s="406"/>
      <c r="AA26" s="405"/>
      <c r="AB26" s="405"/>
      <c r="AC26" s="405"/>
      <c r="AD26" s="405"/>
      <c r="AE26" s="405"/>
      <c r="AF26" s="405"/>
      <c r="AG26" s="405"/>
      <c r="AH26" s="405"/>
      <c r="AI26" s="405"/>
    </row>
    <row r="27" spans="1:35" ht="16.5" x14ac:dyDescent="0.25">
      <c r="A27" s="482" t="s">
        <v>241</v>
      </c>
      <c r="B27" s="476" t="s">
        <v>180</v>
      </c>
      <c r="C27" s="515">
        <v>2139001</v>
      </c>
      <c r="D27" s="478" t="s">
        <v>242</v>
      </c>
      <c r="E27" s="482" t="s">
        <v>182</v>
      </c>
      <c r="F27" s="514" t="s">
        <v>223</v>
      </c>
      <c r="G27" s="483">
        <v>2310000</v>
      </c>
      <c r="H27" s="502" t="s">
        <v>243</v>
      </c>
      <c r="I27" s="480" t="s">
        <v>244</v>
      </c>
      <c r="J27" s="477" t="s">
        <v>245</v>
      </c>
      <c r="K27" s="480" t="s">
        <v>244</v>
      </c>
      <c r="L27" s="406">
        <f t="shared" si="6"/>
        <v>63336197</v>
      </c>
      <c r="M27" s="416">
        <v>63336197</v>
      </c>
      <c r="N27" s="415" t="s">
        <v>192</v>
      </c>
      <c r="O27" s="415" t="s">
        <v>205</v>
      </c>
      <c r="P27" s="406"/>
      <c r="Q27" s="406"/>
      <c r="R27" s="406"/>
      <c r="S27" s="406"/>
      <c r="T27" s="467">
        <v>53359056</v>
      </c>
      <c r="U27" s="467">
        <v>53359056</v>
      </c>
      <c r="V27" s="406">
        <f t="shared" si="7"/>
        <v>9977141</v>
      </c>
      <c r="W27" s="406">
        <v>9977141</v>
      </c>
      <c r="X27" s="406">
        <v>0</v>
      </c>
      <c r="Y27" s="406">
        <v>0</v>
      </c>
      <c r="Z27" s="406">
        <v>0</v>
      </c>
      <c r="AA27" s="405">
        <v>0</v>
      </c>
      <c r="AB27" s="405">
        <v>0</v>
      </c>
      <c r="AC27" s="405">
        <v>0</v>
      </c>
      <c r="AD27" s="405"/>
      <c r="AE27" s="405"/>
      <c r="AF27" s="405"/>
      <c r="AG27" s="405"/>
      <c r="AH27" s="405"/>
      <c r="AI27" s="405"/>
    </row>
    <row r="28" spans="1:35" x14ac:dyDescent="0.25">
      <c r="A28" s="482" t="s">
        <v>246</v>
      </c>
      <c r="B28" s="476" t="s">
        <v>180</v>
      </c>
      <c r="C28" s="465" t="s">
        <v>247</v>
      </c>
      <c r="D28" s="478" t="s">
        <v>248</v>
      </c>
      <c r="E28" s="482" t="s">
        <v>182</v>
      </c>
      <c r="F28" s="514" t="s">
        <v>223</v>
      </c>
      <c r="G28" s="483">
        <v>2310000</v>
      </c>
      <c r="H28" s="502" t="s">
        <v>249</v>
      </c>
      <c r="I28" s="480" t="s">
        <v>250</v>
      </c>
      <c r="J28" s="466" t="s">
        <v>251</v>
      </c>
      <c r="K28" s="480" t="s">
        <v>250</v>
      </c>
      <c r="L28" s="406">
        <f t="shared" si="6"/>
        <v>73896936</v>
      </c>
      <c r="M28" s="416">
        <v>73896936</v>
      </c>
      <c r="N28" s="415" t="s">
        <v>192</v>
      </c>
      <c r="O28" s="415" t="s">
        <v>205</v>
      </c>
      <c r="P28" s="406"/>
      <c r="Q28" s="406"/>
      <c r="R28" s="406"/>
      <c r="S28" s="406"/>
      <c r="T28" s="467">
        <v>29673279</v>
      </c>
      <c r="U28" s="467">
        <v>29500008</v>
      </c>
      <c r="V28" s="406">
        <f t="shared" si="7"/>
        <v>44396928</v>
      </c>
      <c r="W28" s="406">
        <v>44396928</v>
      </c>
      <c r="X28" s="406"/>
      <c r="Y28" s="406"/>
      <c r="Z28" s="406"/>
      <c r="AA28" s="405"/>
      <c r="AB28" s="405"/>
      <c r="AC28" s="405"/>
      <c r="AD28" s="405"/>
      <c r="AE28" s="405"/>
      <c r="AF28" s="405"/>
      <c r="AG28" s="405"/>
      <c r="AH28" s="405"/>
      <c r="AI28" s="405"/>
    </row>
    <row r="29" spans="1:35" ht="16.5" x14ac:dyDescent="0.25">
      <c r="A29" s="490">
        <v>654</v>
      </c>
      <c r="B29" s="476" t="s">
        <v>180</v>
      </c>
      <c r="C29" s="489">
        <v>2654001</v>
      </c>
      <c r="D29" s="478" t="s">
        <v>252</v>
      </c>
      <c r="E29" s="482" t="s">
        <v>182</v>
      </c>
      <c r="F29" s="514" t="s">
        <v>223</v>
      </c>
      <c r="G29" s="483">
        <v>2310000</v>
      </c>
      <c r="H29" s="502" t="s">
        <v>249</v>
      </c>
      <c r="I29" s="480" t="s">
        <v>253</v>
      </c>
      <c r="J29" s="493" t="s">
        <v>254</v>
      </c>
      <c r="K29" s="480" t="s">
        <v>253</v>
      </c>
      <c r="L29" s="406">
        <f t="shared" si="6"/>
        <v>61386712</v>
      </c>
      <c r="M29" s="416">
        <v>61386712</v>
      </c>
      <c r="N29" s="415" t="s">
        <v>192</v>
      </c>
      <c r="O29" s="415" t="s">
        <v>205</v>
      </c>
      <c r="P29" s="406"/>
      <c r="Q29" s="406"/>
      <c r="R29" s="406"/>
      <c r="S29" s="406"/>
      <c r="T29" s="467">
        <v>44577405</v>
      </c>
      <c r="U29" s="467">
        <v>44577405</v>
      </c>
      <c r="V29" s="406">
        <f t="shared" si="7"/>
        <v>16809307</v>
      </c>
      <c r="W29" s="406">
        <v>16809307</v>
      </c>
      <c r="X29" s="406"/>
      <c r="Y29" s="406"/>
      <c r="Z29" s="406"/>
      <c r="AA29" s="405"/>
      <c r="AB29" s="405"/>
      <c r="AC29" s="405"/>
      <c r="AD29" s="405"/>
      <c r="AE29" s="405"/>
      <c r="AF29" s="405"/>
      <c r="AG29" s="405"/>
      <c r="AH29" s="405"/>
      <c r="AI29" s="405"/>
    </row>
    <row r="30" spans="1:35" ht="16.5" x14ac:dyDescent="0.25">
      <c r="A30" s="490">
        <v>107</v>
      </c>
      <c r="B30" s="476" t="s">
        <v>180</v>
      </c>
      <c r="C30" s="489">
        <v>2107001</v>
      </c>
      <c r="D30" s="478" t="s">
        <v>255</v>
      </c>
      <c r="E30" s="482" t="s">
        <v>182</v>
      </c>
      <c r="F30" s="511" t="s">
        <v>223</v>
      </c>
      <c r="G30" s="483">
        <v>2310000</v>
      </c>
      <c r="H30" s="487" t="s">
        <v>256</v>
      </c>
      <c r="I30" s="480" t="s">
        <v>257</v>
      </c>
      <c r="J30" s="481" t="s">
        <v>258</v>
      </c>
      <c r="K30" s="480" t="s">
        <v>257</v>
      </c>
      <c r="L30" s="406">
        <f t="shared" si="6"/>
        <v>78873288</v>
      </c>
      <c r="M30" s="416">
        <v>78873288</v>
      </c>
      <c r="N30" s="415" t="s">
        <v>192</v>
      </c>
      <c r="O30" s="415" t="s">
        <v>205</v>
      </c>
      <c r="P30" s="406"/>
      <c r="Q30" s="406"/>
      <c r="R30" s="406"/>
      <c r="S30" s="406"/>
      <c r="T30" s="491">
        <f>43312400-10000000</f>
        <v>33312400</v>
      </c>
      <c r="U30" s="491">
        <v>33312130</v>
      </c>
      <c r="V30" s="406">
        <f t="shared" si="7"/>
        <v>45561158</v>
      </c>
      <c r="W30" s="406">
        <v>45561158</v>
      </c>
      <c r="X30" s="406"/>
      <c r="Y30" s="406"/>
      <c r="Z30" s="406"/>
      <c r="AA30" s="405"/>
      <c r="AB30" s="405"/>
      <c r="AC30" s="405"/>
      <c r="AD30" s="405"/>
      <c r="AE30" s="405"/>
      <c r="AF30" s="405"/>
      <c r="AG30" s="405"/>
      <c r="AH30" s="405"/>
      <c r="AI30" s="405"/>
    </row>
    <row r="31" spans="1:35" ht="16.5" x14ac:dyDescent="0.25">
      <c r="A31" s="465" t="s">
        <v>259</v>
      </c>
      <c r="B31" s="476" t="s">
        <v>180</v>
      </c>
      <c r="C31" s="465" t="s">
        <v>260</v>
      </c>
      <c r="D31" s="478" t="s">
        <v>261</v>
      </c>
      <c r="E31" s="482" t="s">
        <v>182</v>
      </c>
      <c r="F31" s="511" t="s">
        <v>223</v>
      </c>
      <c r="G31" s="483">
        <v>2310000</v>
      </c>
      <c r="H31" s="513" t="s">
        <v>262</v>
      </c>
      <c r="I31" s="480" t="s">
        <v>263</v>
      </c>
      <c r="J31" s="466" t="s">
        <v>264</v>
      </c>
      <c r="K31" s="480" t="s">
        <v>263</v>
      </c>
      <c r="L31" s="406">
        <f t="shared" si="6"/>
        <v>44769284</v>
      </c>
      <c r="M31" s="416">
        <v>44769284</v>
      </c>
      <c r="N31" s="415" t="s">
        <v>192</v>
      </c>
      <c r="O31" s="415" t="s">
        <v>205</v>
      </c>
      <c r="P31" s="406"/>
      <c r="Q31" s="406"/>
      <c r="R31" s="406"/>
      <c r="S31" s="406"/>
      <c r="T31" s="467">
        <v>22965320</v>
      </c>
      <c r="U31" s="467">
        <v>22965320</v>
      </c>
      <c r="V31" s="406">
        <f t="shared" si="7"/>
        <v>21803964</v>
      </c>
      <c r="W31" s="406">
        <v>21803964</v>
      </c>
      <c r="X31" s="406"/>
      <c r="Y31" s="406"/>
      <c r="Z31" s="406"/>
      <c r="AA31" s="405"/>
      <c r="AB31" s="405"/>
      <c r="AC31" s="405"/>
      <c r="AD31" s="405"/>
      <c r="AE31" s="405"/>
      <c r="AF31" s="405"/>
      <c r="AG31" s="405"/>
      <c r="AH31" s="405"/>
      <c r="AI31" s="405"/>
    </row>
    <row r="32" spans="1:35" ht="16.5" x14ac:dyDescent="0.25">
      <c r="A32" s="465" t="s">
        <v>265</v>
      </c>
      <c r="B32" s="476" t="s">
        <v>180</v>
      </c>
      <c r="C32" s="512">
        <v>2134001</v>
      </c>
      <c r="D32" s="478" t="s">
        <v>266</v>
      </c>
      <c r="E32" s="482" t="s">
        <v>182</v>
      </c>
      <c r="F32" s="511" t="s">
        <v>223</v>
      </c>
      <c r="G32" s="483">
        <v>2310000</v>
      </c>
      <c r="H32" s="487" t="s">
        <v>267</v>
      </c>
      <c r="I32" s="480" t="s">
        <v>268</v>
      </c>
      <c r="J32" s="481" t="s">
        <v>269</v>
      </c>
      <c r="K32" s="480" t="s">
        <v>268</v>
      </c>
      <c r="L32" s="406">
        <f t="shared" si="6"/>
        <v>59641752</v>
      </c>
      <c r="M32" s="416">
        <v>59641752</v>
      </c>
      <c r="N32" s="415" t="s">
        <v>192</v>
      </c>
      <c r="O32" s="415" t="s">
        <v>205</v>
      </c>
      <c r="P32" s="406"/>
      <c r="Q32" s="406"/>
      <c r="R32" s="406"/>
      <c r="S32" s="406"/>
      <c r="T32" s="467">
        <v>33955200</v>
      </c>
      <c r="U32" s="467">
        <v>33955200</v>
      </c>
      <c r="V32" s="406">
        <f t="shared" si="7"/>
        <v>25686552</v>
      </c>
      <c r="W32" s="406">
        <v>25686552</v>
      </c>
      <c r="X32" s="406"/>
      <c r="Y32" s="406"/>
      <c r="Z32" s="406"/>
      <c r="AA32" s="405"/>
      <c r="AB32" s="405"/>
      <c r="AC32" s="405"/>
      <c r="AD32" s="405"/>
      <c r="AE32" s="405"/>
      <c r="AF32" s="405"/>
      <c r="AG32" s="405"/>
      <c r="AH32" s="405"/>
      <c r="AI32" s="405"/>
    </row>
    <row r="33" spans="1:35" ht="16.5" x14ac:dyDescent="0.25">
      <c r="A33" s="490">
        <v>153</v>
      </c>
      <c r="B33" s="476" t="s">
        <v>180</v>
      </c>
      <c r="C33" s="489">
        <v>2153001</v>
      </c>
      <c r="D33" s="478" t="s">
        <v>270</v>
      </c>
      <c r="E33" s="482" t="s">
        <v>182</v>
      </c>
      <c r="F33" s="488" t="s">
        <v>223</v>
      </c>
      <c r="G33" s="483">
        <v>2310000</v>
      </c>
      <c r="H33" s="487" t="s">
        <v>271</v>
      </c>
      <c r="I33" s="480" t="s">
        <v>272</v>
      </c>
      <c r="J33" s="481" t="s">
        <v>273</v>
      </c>
      <c r="K33" s="480" t="s">
        <v>272</v>
      </c>
      <c r="L33" s="406">
        <f t="shared" si="6"/>
        <v>44088200</v>
      </c>
      <c r="M33" s="416">
        <v>44088200</v>
      </c>
      <c r="N33" s="415" t="s">
        <v>192</v>
      </c>
      <c r="O33" s="415" t="s">
        <v>205</v>
      </c>
      <c r="P33" s="406"/>
      <c r="Q33" s="406"/>
      <c r="R33" s="406"/>
      <c r="S33" s="406"/>
      <c r="T33" s="467">
        <v>18003131</v>
      </c>
      <c r="U33" s="467">
        <v>18001178</v>
      </c>
      <c r="V33" s="406">
        <f t="shared" si="7"/>
        <v>26087022</v>
      </c>
      <c r="W33" s="406">
        <v>26087022</v>
      </c>
      <c r="X33" s="406"/>
      <c r="Y33" s="406"/>
      <c r="Z33" s="406"/>
      <c r="AA33" s="405"/>
      <c r="AB33" s="405"/>
      <c r="AC33" s="405"/>
      <c r="AD33" s="405"/>
      <c r="AE33" s="405"/>
      <c r="AF33" s="405"/>
      <c r="AG33" s="405"/>
      <c r="AH33" s="405"/>
      <c r="AI33" s="405"/>
    </row>
    <row r="34" spans="1:35" ht="16.5" x14ac:dyDescent="0.25">
      <c r="A34" s="490">
        <v>129</v>
      </c>
      <c r="B34" s="476" t="s">
        <v>180</v>
      </c>
      <c r="C34" s="489">
        <v>2129001</v>
      </c>
      <c r="D34" s="478" t="s">
        <v>274</v>
      </c>
      <c r="E34" s="482" t="s">
        <v>182</v>
      </c>
      <c r="F34" s="488" t="s">
        <v>223</v>
      </c>
      <c r="G34" s="483">
        <v>2310000</v>
      </c>
      <c r="H34" s="487" t="s">
        <v>275</v>
      </c>
      <c r="I34" s="480" t="s">
        <v>276</v>
      </c>
      <c r="J34" s="486" t="s">
        <v>277</v>
      </c>
      <c r="K34" s="480" t="s">
        <v>276</v>
      </c>
      <c r="L34" s="406">
        <f t="shared" si="6"/>
        <v>97058102</v>
      </c>
      <c r="M34" s="416">
        <v>97058102</v>
      </c>
      <c r="N34" s="415" t="s">
        <v>192</v>
      </c>
      <c r="O34" s="415" t="s">
        <v>205</v>
      </c>
      <c r="P34" s="406"/>
      <c r="Q34" s="406"/>
      <c r="R34" s="406"/>
      <c r="S34" s="406"/>
      <c r="T34" s="467">
        <v>77034943</v>
      </c>
      <c r="U34" s="467">
        <v>77034943</v>
      </c>
      <c r="V34" s="406">
        <f t="shared" si="7"/>
        <v>20023159</v>
      </c>
      <c r="W34" s="406">
        <v>20023159</v>
      </c>
      <c r="X34" s="406"/>
      <c r="Y34" s="406"/>
      <c r="Z34" s="406"/>
      <c r="AA34" s="405"/>
      <c r="AB34" s="405"/>
      <c r="AC34" s="405"/>
      <c r="AD34" s="405"/>
      <c r="AE34" s="405"/>
      <c r="AF34" s="405"/>
      <c r="AG34" s="405"/>
      <c r="AH34" s="405"/>
      <c r="AI34" s="405"/>
    </row>
    <row r="35" spans="1:35" ht="16.5" x14ac:dyDescent="0.25">
      <c r="A35" s="490">
        <v>129</v>
      </c>
      <c r="B35" s="476" t="s">
        <v>180</v>
      </c>
      <c r="C35" s="489">
        <v>2129001</v>
      </c>
      <c r="D35" s="478" t="s">
        <v>274</v>
      </c>
      <c r="E35" s="482" t="s">
        <v>182</v>
      </c>
      <c r="F35" s="488" t="s">
        <v>223</v>
      </c>
      <c r="G35" s="483">
        <v>2310000</v>
      </c>
      <c r="H35" s="487" t="s">
        <v>275</v>
      </c>
      <c r="I35" s="480" t="s">
        <v>278</v>
      </c>
      <c r="J35" s="486" t="s">
        <v>279</v>
      </c>
      <c r="K35" s="480" t="s">
        <v>278</v>
      </c>
      <c r="L35" s="406">
        <f t="shared" si="6"/>
        <v>62931000</v>
      </c>
      <c r="M35" s="416">
        <v>62931000</v>
      </c>
      <c r="N35" s="415" t="s">
        <v>192</v>
      </c>
      <c r="O35" s="415" t="s">
        <v>205</v>
      </c>
      <c r="P35" s="406"/>
      <c r="Q35" s="406"/>
      <c r="R35" s="406"/>
      <c r="S35" s="406"/>
      <c r="T35" s="467">
        <v>15512068</v>
      </c>
      <c r="U35" s="467">
        <v>15512068</v>
      </c>
      <c r="V35" s="406">
        <f t="shared" si="7"/>
        <v>47418932</v>
      </c>
      <c r="W35" s="406">
        <v>47418932</v>
      </c>
      <c r="X35" s="406"/>
      <c r="Y35" s="406"/>
      <c r="Z35" s="406"/>
      <c r="AA35" s="405"/>
      <c r="AB35" s="405"/>
      <c r="AC35" s="405"/>
      <c r="AD35" s="405"/>
      <c r="AE35" s="405"/>
      <c r="AF35" s="405"/>
      <c r="AG35" s="405"/>
      <c r="AH35" s="405"/>
      <c r="AI35" s="405"/>
    </row>
    <row r="36" spans="1:35" ht="16.5" x14ac:dyDescent="0.25">
      <c r="A36" s="482" t="s">
        <v>280</v>
      </c>
      <c r="B36" s="476" t="s">
        <v>180</v>
      </c>
      <c r="C36" s="465" t="s">
        <v>281</v>
      </c>
      <c r="D36" s="478" t="s">
        <v>282</v>
      </c>
      <c r="E36" s="482" t="s">
        <v>182</v>
      </c>
      <c r="F36" s="488" t="s">
        <v>223</v>
      </c>
      <c r="G36" s="483">
        <v>2310000</v>
      </c>
      <c r="H36" s="487" t="s">
        <v>275</v>
      </c>
      <c r="I36" s="480" t="s">
        <v>283</v>
      </c>
      <c r="J36" s="486" t="s">
        <v>284</v>
      </c>
      <c r="K36" s="480" t="s">
        <v>283</v>
      </c>
      <c r="L36" s="406">
        <f t="shared" si="6"/>
        <v>47871000</v>
      </c>
      <c r="M36" s="416">
        <v>47871000</v>
      </c>
      <c r="N36" s="415" t="s">
        <v>192</v>
      </c>
      <c r="O36" s="415" t="s">
        <v>205</v>
      </c>
      <c r="P36" s="406"/>
      <c r="Q36" s="406"/>
      <c r="R36" s="406"/>
      <c r="S36" s="406"/>
      <c r="T36" s="467">
        <v>19114976</v>
      </c>
      <c r="U36" s="467">
        <v>19114976</v>
      </c>
      <c r="V36" s="406">
        <f t="shared" si="7"/>
        <v>28756024</v>
      </c>
      <c r="W36" s="406">
        <v>28756024</v>
      </c>
      <c r="X36" s="406"/>
      <c r="Y36" s="406"/>
      <c r="Z36" s="406"/>
      <c r="AA36" s="405"/>
      <c r="AB36" s="405"/>
      <c r="AC36" s="405"/>
      <c r="AD36" s="405"/>
      <c r="AE36" s="405"/>
      <c r="AF36" s="405"/>
      <c r="AG36" s="405"/>
      <c r="AH36" s="405"/>
      <c r="AI36" s="405"/>
    </row>
    <row r="37" spans="1:35" ht="16.5" x14ac:dyDescent="0.25">
      <c r="A37" s="482" t="s">
        <v>285</v>
      </c>
      <c r="B37" s="476" t="s">
        <v>180</v>
      </c>
      <c r="C37" s="465" t="s">
        <v>286</v>
      </c>
      <c r="D37" s="478" t="s">
        <v>287</v>
      </c>
      <c r="E37" s="482" t="s">
        <v>182</v>
      </c>
      <c r="F37" s="488" t="s">
        <v>223</v>
      </c>
      <c r="G37" s="483">
        <v>2310000</v>
      </c>
      <c r="H37" s="482" t="s">
        <v>288</v>
      </c>
      <c r="I37" s="480" t="s">
        <v>289</v>
      </c>
      <c r="J37" s="486" t="s">
        <v>290</v>
      </c>
      <c r="K37" s="480" t="s">
        <v>289</v>
      </c>
      <c r="L37" s="406">
        <f t="shared" si="6"/>
        <v>20340115</v>
      </c>
      <c r="M37" s="416">
        <v>20340115</v>
      </c>
      <c r="N37" s="415" t="s">
        <v>192</v>
      </c>
      <c r="O37" s="415" t="s">
        <v>205</v>
      </c>
      <c r="P37" s="406"/>
      <c r="Q37" s="406"/>
      <c r="R37" s="406"/>
      <c r="S37" s="406"/>
      <c r="T37" s="467">
        <v>15100000</v>
      </c>
      <c r="U37" s="507">
        <v>15092698</v>
      </c>
      <c r="V37" s="406">
        <f t="shared" si="7"/>
        <v>5247417</v>
      </c>
      <c r="W37" s="406">
        <v>5247417</v>
      </c>
      <c r="X37" s="406"/>
      <c r="Y37" s="406"/>
      <c r="Z37" s="406"/>
      <c r="AA37" s="405"/>
      <c r="AB37" s="405"/>
      <c r="AC37" s="405"/>
      <c r="AD37" s="405"/>
      <c r="AE37" s="405"/>
      <c r="AF37" s="405"/>
      <c r="AG37" s="405"/>
      <c r="AH37" s="405"/>
      <c r="AI37" s="405"/>
    </row>
    <row r="38" spans="1:35" ht="16.5" x14ac:dyDescent="0.25">
      <c r="A38" s="482" t="s">
        <v>285</v>
      </c>
      <c r="B38" s="476" t="s">
        <v>180</v>
      </c>
      <c r="C38" s="465" t="s">
        <v>286</v>
      </c>
      <c r="D38" s="478" t="s">
        <v>287</v>
      </c>
      <c r="E38" s="482" t="s">
        <v>182</v>
      </c>
      <c r="F38" s="488" t="s">
        <v>223</v>
      </c>
      <c r="G38" s="483">
        <v>2310000</v>
      </c>
      <c r="H38" s="482" t="s">
        <v>288</v>
      </c>
      <c r="I38" s="480" t="s">
        <v>291</v>
      </c>
      <c r="J38" s="486" t="s">
        <v>292</v>
      </c>
      <c r="K38" s="480" t="s">
        <v>291</v>
      </c>
      <c r="L38" s="406">
        <f t="shared" si="6"/>
        <v>14291954</v>
      </c>
      <c r="M38" s="416">
        <v>14291954</v>
      </c>
      <c r="N38" s="415" t="s">
        <v>192</v>
      </c>
      <c r="O38" s="415" t="s">
        <v>205</v>
      </c>
      <c r="P38" s="406"/>
      <c r="Q38" s="406"/>
      <c r="R38" s="406"/>
      <c r="S38" s="406"/>
      <c r="T38" s="467">
        <v>8350000</v>
      </c>
      <c r="U38" s="467">
        <v>8350000</v>
      </c>
      <c r="V38" s="406">
        <f t="shared" si="7"/>
        <v>5941954</v>
      </c>
      <c r="W38" s="406">
        <v>5941954</v>
      </c>
      <c r="X38" s="406"/>
      <c r="Y38" s="406"/>
      <c r="Z38" s="406"/>
      <c r="AA38" s="405"/>
      <c r="AB38" s="405"/>
      <c r="AC38" s="405"/>
      <c r="AD38" s="405"/>
      <c r="AE38" s="405"/>
      <c r="AF38" s="405"/>
      <c r="AG38" s="405"/>
      <c r="AH38" s="405"/>
      <c r="AI38" s="405"/>
    </row>
    <row r="39" spans="1:35" ht="16.5" x14ac:dyDescent="0.25">
      <c r="A39" s="482" t="s">
        <v>293</v>
      </c>
      <c r="B39" s="476" t="s">
        <v>180</v>
      </c>
      <c r="C39" s="465" t="s">
        <v>294</v>
      </c>
      <c r="D39" s="478" t="s">
        <v>295</v>
      </c>
      <c r="E39" s="482" t="s">
        <v>182</v>
      </c>
      <c r="F39" s="488" t="s">
        <v>223</v>
      </c>
      <c r="G39" s="483">
        <v>2310000</v>
      </c>
      <c r="H39" s="482" t="s">
        <v>288</v>
      </c>
      <c r="I39" s="480" t="s">
        <v>296</v>
      </c>
      <c r="J39" s="486" t="s">
        <v>297</v>
      </c>
      <c r="K39" s="480" t="s">
        <v>296</v>
      </c>
      <c r="L39" s="406">
        <f t="shared" si="6"/>
        <v>24474324</v>
      </c>
      <c r="M39" s="416">
        <v>24474324</v>
      </c>
      <c r="N39" s="415" t="s">
        <v>192</v>
      </c>
      <c r="O39" s="415" t="s">
        <v>205</v>
      </c>
      <c r="P39" s="406"/>
      <c r="Q39" s="406"/>
      <c r="R39" s="406"/>
      <c r="S39" s="406"/>
      <c r="T39" s="467">
        <v>13884749</v>
      </c>
      <c r="U39" s="467">
        <v>13884749</v>
      </c>
      <c r="V39" s="406">
        <f t="shared" si="7"/>
        <v>10589575</v>
      </c>
      <c r="W39" s="406">
        <v>10589575</v>
      </c>
      <c r="X39" s="406"/>
      <c r="Y39" s="406"/>
      <c r="Z39" s="406"/>
      <c r="AA39" s="405"/>
      <c r="AB39" s="405"/>
      <c r="AC39" s="405"/>
      <c r="AD39" s="405"/>
      <c r="AE39" s="405"/>
      <c r="AF39" s="405"/>
      <c r="AG39" s="405"/>
      <c r="AH39" s="405"/>
      <c r="AI39" s="405"/>
    </row>
    <row r="40" spans="1:35" ht="16.5" x14ac:dyDescent="0.25">
      <c r="A40" s="482" t="s">
        <v>298</v>
      </c>
      <c r="B40" s="476" t="s">
        <v>180</v>
      </c>
      <c r="C40" s="465" t="s">
        <v>299</v>
      </c>
      <c r="D40" s="478" t="s">
        <v>300</v>
      </c>
      <c r="E40" s="482" t="s">
        <v>182</v>
      </c>
      <c r="F40" s="488" t="s">
        <v>223</v>
      </c>
      <c r="G40" s="483">
        <v>2310000</v>
      </c>
      <c r="H40" s="482" t="s">
        <v>301</v>
      </c>
      <c r="I40" s="480" t="s">
        <v>302</v>
      </c>
      <c r="J40" s="481" t="s">
        <v>303</v>
      </c>
      <c r="K40" s="480" t="s">
        <v>302</v>
      </c>
      <c r="L40" s="406">
        <f t="shared" si="6"/>
        <v>89962080</v>
      </c>
      <c r="M40" s="416">
        <v>89962080</v>
      </c>
      <c r="N40" s="415" t="s">
        <v>192</v>
      </c>
      <c r="O40" s="415" t="s">
        <v>205</v>
      </c>
      <c r="P40" s="406"/>
      <c r="Q40" s="406"/>
      <c r="R40" s="406"/>
      <c r="S40" s="406"/>
      <c r="T40" s="467">
        <v>31984832</v>
      </c>
      <c r="U40" s="467">
        <v>31984832</v>
      </c>
      <c r="V40" s="406">
        <f t="shared" si="7"/>
        <v>57977248</v>
      </c>
      <c r="W40" s="406">
        <v>57977248</v>
      </c>
      <c r="X40" s="406"/>
      <c r="Y40" s="406"/>
      <c r="Z40" s="406"/>
      <c r="AA40" s="405"/>
      <c r="AB40" s="405"/>
      <c r="AC40" s="405"/>
      <c r="AD40" s="405"/>
      <c r="AE40" s="405"/>
      <c r="AF40" s="405"/>
      <c r="AG40" s="405"/>
      <c r="AH40" s="405"/>
      <c r="AI40" s="405"/>
    </row>
    <row r="41" spans="1:35" ht="16.5" x14ac:dyDescent="0.25">
      <c r="A41" s="482" t="s">
        <v>304</v>
      </c>
      <c r="B41" s="476" t="s">
        <v>180</v>
      </c>
      <c r="C41" s="465" t="s">
        <v>305</v>
      </c>
      <c r="D41" s="478" t="s">
        <v>306</v>
      </c>
      <c r="E41" s="482" t="s">
        <v>182</v>
      </c>
      <c r="F41" s="488" t="s">
        <v>223</v>
      </c>
      <c r="G41" s="483">
        <v>2310000</v>
      </c>
      <c r="H41" s="482" t="s">
        <v>187</v>
      </c>
      <c r="I41" s="480" t="s">
        <v>307</v>
      </c>
      <c r="J41" s="481" t="s">
        <v>308</v>
      </c>
      <c r="K41" s="480" t="s">
        <v>307</v>
      </c>
      <c r="L41" s="406">
        <f t="shared" si="6"/>
        <v>98490697</v>
      </c>
      <c r="M41" s="416">
        <v>98490697</v>
      </c>
      <c r="N41" s="415" t="s">
        <v>192</v>
      </c>
      <c r="O41" s="415" t="s">
        <v>205</v>
      </c>
      <c r="P41" s="406"/>
      <c r="Q41" s="406"/>
      <c r="R41" s="406"/>
      <c r="S41" s="406"/>
      <c r="T41" s="467">
        <f>39600001+40000000</f>
        <v>79600001</v>
      </c>
      <c r="U41" s="467">
        <v>79599948</v>
      </c>
      <c r="V41" s="406">
        <f t="shared" si="7"/>
        <v>18890749</v>
      </c>
      <c r="W41" s="406">
        <v>18890749</v>
      </c>
      <c r="X41" s="406"/>
      <c r="Y41" s="406"/>
      <c r="Z41" s="406"/>
      <c r="AA41" s="405"/>
      <c r="AB41" s="405"/>
      <c r="AC41" s="405"/>
      <c r="AD41" s="405"/>
      <c r="AE41" s="405"/>
      <c r="AF41" s="405"/>
      <c r="AG41" s="405"/>
      <c r="AH41" s="405"/>
      <c r="AI41" s="405"/>
    </row>
    <row r="42" spans="1:35" ht="15" customHeight="1" x14ac:dyDescent="0.25">
      <c r="A42" s="482" t="s">
        <v>309</v>
      </c>
      <c r="B42" s="476" t="s">
        <v>180</v>
      </c>
      <c r="C42" s="465" t="s">
        <v>310</v>
      </c>
      <c r="D42" s="478" t="s">
        <v>311</v>
      </c>
      <c r="E42" s="482" t="s">
        <v>182</v>
      </c>
      <c r="F42" s="510" t="s">
        <v>223</v>
      </c>
      <c r="G42" s="483">
        <v>2310000</v>
      </c>
      <c r="H42" s="482" t="s">
        <v>312</v>
      </c>
      <c r="I42" s="480" t="s">
        <v>313</v>
      </c>
      <c r="J42" s="481" t="s">
        <v>314</v>
      </c>
      <c r="K42" s="480" t="s">
        <v>313</v>
      </c>
      <c r="L42" s="406">
        <f t="shared" si="6"/>
        <v>54163145</v>
      </c>
      <c r="M42" s="416">
        <v>54163145</v>
      </c>
      <c r="N42" s="415" t="s">
        <v>192</v>
      </c>
      <c r="O42" s="415" t="s">
        <v>205</v>
      </c>
      <c r="P42" s="406"/>
      <c r="Q42" s="406"/>
      <c r="R42" s="406"/>
      <c r="S42" s="406"/>
      <c r="T42" s="467">
        <v>15900998</v>
      </c>
      <c r="U42" s="467">
        <v>15900998</v>
      </c>
      <c r="V42" s="406">
        <f t="shared" si="7"/>
        <v>38262147</v>
      </c>
      <c r="W42" s="406">
        <v>38262147</v>
      </c>
      <c r="X42" s="406"/>
      <c r="Y42" s="406"/>
      <c r="Z42" s="406"/>
      <c r="AA42" s="405"/>
      <c r="AB42" s="405"/>
      <c r="AC42" s="405"/>
      <c r="AD42" s="405"/>
      <c r="AE42" s="405"/>
      <c r="AF42" s="405"/>
      <c r="AG42" s="405"/>
      <c r="AH42" s="405"/>
      <c r="AI42" s="405"/>
    </row>
    <row r="43" spans="1:35" ht="16.5" x14ac:dyDescent="0.25">
      <c r="A43" s="482" t="s">
        <v>315</v>
      </c>
      <c r="B43" s="476" t="s">
        <v>180</v>
      </c>
      <c r="C43" s="465" t="s">
        <v>316</v>
      </c>
      <c r="D43" s="478" t="s">
        <v>317</v>
      </c>
      <c r="E43" s="482" t="s">
        <v>182</v>
      </c>
      <c r="F43" s="510" t="s">
        <v>223</v>
      </c>
      <c r="G43" s="483">
        <v>2310000</v>
      </c>
      <c r="H43" s="482" t="s">
        <v>318</v>
      </c>
      <c r="I43" s="480" t="s">
        <v>319</v>
      </c>
      <c r="J43" s="481" t="s">
        <v>320</v>
      </c>
      <c r="K43" s="480" t="s">
        <v>319</v>
      </c>
      <c r="L43" s="406">
        <f t="shared" si="6"/>
        <v>4747195</v>
      </c>
      <c r="M43" s="416">
        <v>4747195</v>
      </c>
      <c r="N43" s="415" t="s">
        <v>192</v>
      </c>
      <c r="O43" s="415" t="s">
        <v>205</v>
      </c>
      <c r="P43" s="406"/>
      <c r="Q43" s="406"/>
      <c r="R43" s="406"/>
      <c r="S43" s="406"/>
      <c r="T43" s="467">
        <v>5000000</v>
      </c>
      <c r="U43" s="467">
        <v>4436178</v>
      </c>
      <c r="V43" s="406">
        <f t="shared" si="7"/>
        <v>311017</v>
      </c>
      <c r="W43" s="406">
        <v>311017</v>
      </c>
      <c r="X43" s="406"/>
      <c r="Y43" s="406"/>
      <c r="Z43" s="406"/>
      <c r="AA43" s="405"/>
      <c r="AB43" s="405"/>
      <c r="AC43" s="405"/>
      <c r="AD43" s="405"/>
      <c r="AE43" s="405"/>
      <c r="AF43" s="405"/>
      <c r="AG43" s="405"/>
      <c r="AH43" s="405"/>
      <c r="AI43" s="405"/>
    </row>
    <row r="44" spans="1:35" ht="16.5" x14ac:dyDescent="0.25">
      <c r="A44" s="482" t="s">
        <v>321</v>
      </c>
      <c r="B44" s="476" t="s">
        <v>180</v>
      </c>
      <c r="C44" s="465" t="s">
        <v>322</v>
      </c>
      <c r="D44" s="478" t="s">
        <v>323</v>
      </c>
      <c r="E44" s="482" t="s">
        <v>182</v>
      </c>
      <c r="F44" s="510" t="s">
        <v>223</v>
      </c>
      <c r="G44" s="483">
        <v>2310000</v>
      </c>
      <c r="H44" s="482" t="s">
        <v>202</v>
      </c>
      <c r="I44" s="480" t="s">
        <v>324</v>
      </c>
      <c r="J44" s="466" t="s">
        <v>325</v>
      </c>
      <c r="K44" s="480" t="s">
        <v>324</v>
      </c>
      <c r="L44" s="406">
        <f t="shared" si="6"/>
        <v>81007083</v>
      </c>
      <c r="M44" s="416">
        <v>81007083</v>
      </c>
      <c r="N44" s="415" t="s">
        <v>192</v>
      </c>
      <c r="O44" s="415" t="s">
        <v>205</v>
      </c>
      <c r="P44" s="406"/>
      <c r="Q44" s="406"/>
      <c r="R44" s="406"/>
      <c r="S44" s="406"/>
      <c r="T44" s="467">
        <v>39036513</v>
      </c>
      <c r="U44" s="467">
        <v>0</v>
      </c>
      <c r="V44" s="406">
        <f t="shared" si="7"/>
        <v>81007083</v>
      </c>
      <c r="W44" s="406">
        <v>81007083</v>
      </c>
      <c r="X44" s="406"/>
      <c r="Y44" s="406"/>
      <c r="Z44" s="406"/>
      <c r="AA44" s="405"/>
      <c r="AB44" s="405"/>
      <c r="AC44" s="405"/>
      <c r="AD44" s="405"/>
      <c r="AE44" s="405"/>
      <c r="AF44" s="405"/>
      <c r="AG44" s="405"/>
      <c r="AH44" s="405"/>
      <c r="AI44" s="405"/>
    </row>
    <row r="45" spans="1:35" ht="16.5" x14ac:dyDescent="0.25">
      <c r="A45" s="482" t="s">
        <v>326</v>
      </c>
      <c r="B45" s="476" t="s">
        <v>180</v>
      </c>
      <c r="C45" s="465" t="s">
        <v>327</v>
      </c>
      <c r="D45" s="478" t="s">
        <v>328</v>
      </c>
      <c r="E45" s="482" t="s">
        <v>182</v>
      </c>
      <c r="F45" s="510" t="s">
        <v>223</v>
      </c>
      <c r="G45" s="483">
        <v>2310000</v>
      </c>
      <c r="H45" s="482" t="s">
        <v>212</v>
      </c>
      <c r="I45" s="480" t="s">
        <v>329</v>
      </c>
      <c r="J45" s="481" t="s">
        <v>330</v>
      </c>
      <c r="K45" s="480" t="s">
        <v>329</v>
      </c>
      <c r="L45" s="406">
        <f t="shared" si="6"/>
        <v>69436000</v>
      </c>
      <c r="M45" s="416">
        <v>69436000</v>
      </c>
      <c r="N45" s="415" t="s">
        <v>192</v>
      </c>
      <c r="O45" s="415" t="s">
        <v>205</v>
      </c>
      <c r="P45" s="406"/>
      <c r="Q45" s="406"/>
      <c r="R45" s="406"/>
      <c r="S45" s="406"/>
      <c r="T45" s="467">
        <v>27807328</v>
      </c>
      <c r="U45" s="467">
        <v>27807328</v>
      </c>
      <c r="V45" s="406">
        <f t="shared" si="7"/>
        <v>41628672</v>
      </c>
      <c r="W45" s="406">
        <v>41628672</v>
      </c>
      <c r="X45" s="406"/>
      <c r="Y45" s="406"/>
      <c r="Z45" s="406"/>
      <c r="AA45" s="405"/>
      <c r="AB45" s="405"/>
      <c r="AC45" s="405"/>
      <c r="AD45" s="405"/>
      <c r="AE45" s="405"/>
      <c r="AF45" s="405"/>
      <c r="AG45" s="405"/>
      <c r="AH45" s="405"/>
      <c r="AI45" s="405"/>
    </row>
    <row r="46" spans="1:35" ht="16.5" x14ac:dyDescent="0.25">
      <c r="A46" s="482" t="s">
        <v>331</v>
      </c>
      <c r="B46" s="476" t="s">
        <v>180</v>
      </c>
      <c r="C46" s="465" t="s">
        <v>332</v>
      </c>
      <c r="D46" s="478" t="s">
        <v>333</v>
      </c>
      <c r="E46" s="482" t="s">
        <v>182</v>
      </c>
      <c r="F46" s="510" t="s">
        <v>223</v>
      </c>
      <c r="G46" s="483">
        <v>2310000</v>
      </c>
      <c r="H46" s="482" t="s">
        <v>334</v>
      </c>
      <c r="I46" s="480" t="s">
        <v>335</v>
      </c>
      <c r="J46" s="481" t="s">
        <v>336</v>
      </c>
      <c r="K46" s="480" t="s">
        <v>335</v>
      </c>
      <c r="L46" s="406">
        <f t="shared" si="6"/>
        <v>22000000</v>
      </c>
      <c r="M46" s="416">
        <v>22000000</v>
      </c>
      <c r="N46" s="415" t="s">
        <v>192</v>
      </c>
      <c r="O46" s="415" t="s">
        <v>205</v>
      </c>
      <c r="P46" s="406"/>
      <c r="Q46" s="406"/>
      <c r="R46" s="406"/>
      <c r="S46" s="406"/>
      <c r="T46" s="467">
        <v>13520632</v>
      </c>
      <c r="U46" s="467">
        <v>13520632</v>
      </c>
      <c r="V46" s="406">
        <f t="shared" si="7"/>
        <v>8479368</v>
      </c>
      <c r="W46" s="406">
        <v>8781368</v>
      </c>
      <c r="X46" s="406"/>
      <c r="Y46" s="406"/>
      <c r="Z46" s="406"/>
      <c r="AA46" s="405"/>
      <c r="AB46" s="405"/>
      <c r="AC46" s="405"/>
      <c r="AD46" s="405"/>
      <c r="AE46" s="405"/>
      <c r="AF46" s="405"/>
      <c r="AG46" s="405"/>
      <c r="AH46" s="405"/>
      <c r="AI46" s="405"/>
    </row>
    <row r="47" spans="1:35" ht="16.5" x14ac:dyDescent="0.25">
      <c r="A47" s="482" t="s">
        <v>337</v>
      </c>
      <c r="B47" s="476" t="s">
        <v>180</v>
      </c>
      <c r="C47" s="465" t="s">
        <v>338</v>
      </c>
      <c r="D47" s="478" t="s">
        <v>339</v>
      </c>
      <c r="E47" s="482" t="s">
        <v>182</v>
      </c>
      <c r="F47" s="510" t="s">
        <v>223</v>
      </c>
      <c r="G47" s="483">
        <v>2310000</v>
      </c>
      <c r="H47" s="482" t="s">
        <v>334</v>
      </c>
      <c r="I47" s="480" t="s">
        <v>340</v>
      </c>
      <c r="J47" s="493" t="s">
        <v>341</v>
      </c>
      <c r="K47" s="480" t="s">
        <v>340</v>
      </c>
      <c r="L47" s="406">
        <f t="shared" si="6"/>
        <v>51158322</v>
      </c>
      <c r="M47" s="416">
        <v>51158322</v>
      </c>
      <c r="N47" s="415" t="s">
        <v>192</v>
      </c>
      <c r="O47" s="415" t="s">
        <v>205</v>
      </c>
      <c r="P47" s="406"/>
      <c r="Q47" s="406"/>
      <c r="R47" s="406"/>
      <c r="S47" s="406"/>
      <c r="T47" s="467">
        <v>51040000</v>
      </c>
      <c r="U47" s="467">
        <v>51040000</v>
      </c>
      <c r="V47" s="406">
        <f t="shared" si="7"/>
        <v>118322</v>
      </c>
      <c r="W47" s="406">
        <v>118322</v>
      </c>
      <c r="X47" s="500"/>
      <c r="Y47" s="500"/>
      <c r="Z47" s="500"/>
      <c r="AA47" s="499"/>
      <c r="AB47" s="499"/>
      <c r="AC47" s="499"/>
      <c r="AD47" s="499"/>
      <c r="AE47" s="499"/>
      <c r="AF47" s="499"/>
      <c r="AG47" s="499"/>
      <c r="AH47" s="499"/>
      <c r="AI47" s="499"/>
    </row>
    <row r="48" spans="1:35" ht="17.45" customHeight="1" x14ac:dyDescent="0.25">
      <c r="A48" s="430" t="s">
        <v>342</v>
      </c>
      <c r="B48" s="506"/>
      <c r="C48" s="506" t="s">
        <v>343</v>
      </c>
      <c r="D48" s="478" t="s">
        <v>344</v>
      </c>
      <c r="E48" s="431" t="s">
        <v>182</v>
      </c>
      <c r="F48" s="431" t="s">
        <v>223</v>
      </c>
      <c r="G48" s="431">
        <v>2310000</v>
      </c>
      <c r="H48" s="430" t="s">
        <v>212</v>
      </c>
      <c r="I48" s="431" t="s">
        <v>345</v>
      </c>
      <c r="J48" s="417" t="s">
        <v>346</v>
      </c>
      <c r="K48" s="431" t="s">
        <v>345</v>
      </c>
      <c r="L48" s="406">
        <f t="shared" si="6"/>
        <v>330577453</v>
      </c>
      <c r="M48" s="416">
        <v>330577453</v>
      </c>
      <c r="N48" s="415" t="s">
        <v>347</v>
      </c>
      <c r="O48" s="415" t="s">
        <v>192</v>
      </c>
      <c r="P48" s="406">
        <v>0</v>
      </c>
      <c r="Q48" s="406">
        <v>165288727</v>
      </c>
      <c r="R48" s="406">
        <v>123174678</v>
      </c>
      <c r="S48" s="406">
        <f>M48-R48</f>
        <v>207402775</v>
      </c>
      <c r="T48" s="406">
        <v>0</v>
      </c>
      <c r="U48" s="406">
        <v>0</v>
      </c>
      <c r="V48" s="406">
        <f>M48-P48-R48-U48-100000000</f>
        <v>107402775</v>
      </c>
      <c r="W48" s="406">
        <v>107402775</v>
      </c>
      <c r="X48" s="507">
        <v>100000000</v>
      </c>
      <c r="Y48" s="500"/>
      <c r="Z48" s="500"/>
      <c r="AA48" s="509">
        <v>100000000</v>
      </c>
      <c r="AB48" s="499"/>
      <c r="AC48" s="499"/>
      <c r="AD48" s="509"/>
      <c r="AE48" s="499"/>
      <c r="AF48" s="499"/>
      <c r="AG48" s="509"/>
      <c r="AH48" s="499"/>
      <c r="AI48" s="499"/>
    </row>
    <row r="49" spans="1:35" ht="14.25" customHeight="1" x14ac:dyDescent="0.25">
      <c r="A49" s="430" t="s">
        <v>348</v>
      </c>
      <c r="B49" s="431" t="s">
        <v>180</v>
      </c>
      <c r="C49" s="506" t="s">
        <v>349</v>
      </c>
      <c r="D49" s="478" t="s">
        <v>350</v>
      </c>
      <c r="E49" s="431" t="s">
        <v>182</v>
      </c>
      <c r="F49" s="411" t="s">
        <v>223</v>
      </c>
      <c r="G49" s="431">
        <v>2310000</v>
      </c>
      <c r="H49" s="456" t="s">
        <v>256</v>
      </c>
      <c r="I49" s="431" t="s">
        <v>351</v>
      </c>
      <c r="J49" s="417" t="s">
        <v>352</v>
      </c>
      <c r="K49" s="431" t="s">
        <v>351</v>
      </c>
      <c r="L49" s="406">
        <f t="shared" si="6"/>
        <v>103318260</v>
      </c>
      <c r="M49" s="416">
        <v>103318260</v>
      </c>
      <c r="N49" s="415" t="s">
        <v>186</v>
      </c>
      <c r="O49" s="415" t="s">
        <v>205</v>
      </c>
      <c r="P49" s="406">
        <v>0</v>
      </c>
      <c r="Q49" s="406">
        <v>17979563</v>
      </c>
      <c r="R49" s="406">
        <v>0</v>
      </c>
      <c r="S49" s="406">
        <f>M49-R49</f>
        <v>103318260</v>
      </c>
      <c r="T49" s="406">
        <v>43318000</v>
      </c>
      <c r="U49" s="406">
        <v>37057775</v>
      </c>
      <c r="V49" s="406">
        <f>M49-P49-R49-U49</f>
        <v>66260485</v>
      </c>
      <c r="W49" s="406">
        <v>66260485</v>
      </c>
      <c r="X49" s="500"/>
      <c r="Y49" s="500"/>
      <c r="Z49" s="500"/>
      <c r="AA49" s="499"/>
      <c r="AB49" s="499"/>
      <c r="AC49" s="499"/>
      <c r="AD49" s="499"/>
      <c r="AE49" s="499"/>
      <c r="AF49" s="499"/>
      <c r="AG49" s="499"/>
      <c r="AH49" s="499"/>
      <c r="AI49" s="499"/>
    </row>
    <row r="50" spans="1:35" ht="15" customHeight="1" x14ac:dyDescent="0.25">
      <c r="A50" s="430" t="s">
        <v>353</v>
      </c>
      <c r="B50" s="431" t="s">
        <v>180</v>
      </c>
      <c r="C50" s="506" t="s">
        <v>354</v>
      </c>
      <c r="D50" s="508" t="s">
        <v>355</v>
      </c>
      <c r="E50" s="431" t="s">
        <v>182</v>
      </c>
      <c r="F50" s="431" t="s">
        <v>223</v>
      </c>
      <c r="G50" s="431">
        <v>2310000</v>
      </c>
      <c r="H50" s="430">
        <v>3513</v>
      </c>
      <c r="I50" s="410" t="s">
        <v>356</v>
      </c>
      <c r="J50" s="417" t="s">
        <v>357</v>
      </c>
      <c r="K50" s="410" t="s">
        <v>356</v>
      </c>
      <c r="L50" s="406">
        <f t="shared" si="6"/>
        <v>98859335</v>
      </c>
      <c r="M50" s="416">
        <v>98859335</v>
      </c>
      <c r="N50" s="415" t="s">
        <v>186</v>
      </c>
      <c r="O50" s="415" t="s">
        <v>192</v>
      </c>
      <c r="P50" s="406">
        <v>0</v>
      </c>
      <c r="Q50" s="406">
        <v>49998863</v>
      </c>
      <c r="R50" s="406">
        <v>25192880</v>
      </c>
      <c r="S50" s="406">
        <f>M50-R50</f>
        <v>73666455</v>
      </c>
      <c r="T50" s="406">
        <f>M50-R50-305</f>
        <v>73666150</v>
      </c>
      <c r="U50" s="507">
        <v>61359804</v>
      </c>
      <c r="V50" s="406">
        <f>M50-P50-R50-U50</f>
        <v>12306651</v>
      </c>
      <c r="W50" s="406">
        <v>2306651</v>
      </c>
      <c r="X50" s="500"/>
      <c r="Y50" s="500"/>
      <c r="Z50" s="500"/>
      <c r="AA50" s="499"/>
      <c r="AB50" s="499"/>
      <c r="AC50" s="499"/>
      <c r="AD50" s="499"/>
      <c r="AE50" s="499"/>
      <c r="AF50" s="499"/>
      <c r="AG50" s="499"/>
      <c r="AH50" s="499"/>
      <c r="AI50" s="499"/>
    </row>
    <row r="51" spans="1:35" ht="16.5" x14ac:dyDescent="0.25">
      <c r="A51" s="506" t="s">
        <v>321</v>
      </c>
      <c r="B51" s="476">
        <v>11</v>
      </c>
      <c r="C51" s="506" t="s">
        <v>322</v>
      </c>
      <c r="D51" s="505" t="s">
        <v>323</v>
      </c>
      <c r="E51" s="431" t="s">
        <v>182</v>
      </c>
      <c r="F51" s="411" t="s">
        <v>223</v>
      </c>
      <c r="G51" s="483">
        <v>2310000</v>
      </c>
      <c r="H51" s="430">
        <v>3535</v>
      </c>
      <c r="I51" s="431" t="s">
        <v>358</v>
      </c>
      <c r="J51" s="417" t="s">
        <v>359</v>
      </c>
      <c r="K51" s="431" t="s">
        <v>358</v>
      </c>
      <c r="L51" s="406">
        <f t="shared" si="6"/>
        <v>260073375</v>
      </c>
      <c r="M51" s="416">
        <v>260073375</v>
      </c>
      <c r="N51" s="415" t="s">
        <v>186</v>
      </c>
      <c r="O51" s="415" t="s">
        <v>192</v>
      </c>
      <c r="P51" s="406">
        <v>0</v>
      </c>
      <c r="Q51" s="406">
        <v>10687616</v>
      </c>
      <c r="R51" s="406"/>
      <c r="S51" s="406">
        <f>M51-R51</f>
        <v>260073375</v>
      </c>
      <c r="T51" s="406">
        <v>82000000</v>
      </c>
      <c r="U51" s="504">
        <v>51854064</v>
      </c>
      <c r="V51" s="406">
        <f>M51-P51-R51-U51</f>
        <v>208219311</v>
      </c>
      <c r="W51" s="406">
        <v>208219311</v>
      </c>
      <c r="X51" s="500"/>
      <c r="Y51" s="500"/>
      <c r="Z51" s="500"/>
      <c r="AA51" s="499"/>
      <c r="AB51" s="499"/>
      <c r="AC51" s="499"/>
      <c r="AD51" s="499"/>
      <c r="AE51" s="499"/>
      <c r="AF51" s="499"/>
      <c r="AG51" s="499"/>
      <c r="AH51" s="499"/>
      <c r="AI51" s="499"/>
    </row>
    <row r="52" spans="1:35" ht="15.75" customHeight="1" x14ac:dyDescent="0.25">
      <c r="A52" s="409" t="s">
        <v>246</v>
      </c>
      <c r="B52" s="503">
        <v>11</v>
      </c>
      <c r="C52" s="410">
        <v>2132001</v>
      </c>
      <c r="D52" s="410" t="s">
        <v>248</v>
      </c>
      <c r="E52" s="431" t="s">
        <v>182</v>
      </c>
      <c r="F52" s="431" t="s">
        <v>223</v>
      </c>
      <c r="G52" s="431">
        <v>2310000</v>
      </c>
      <c r="H52" s="502" t="s">
        <v>249</v>
      </c>
      <c r="I52" s="431" t="s">
        <v>188</v>
      </c>
      <c r="J52" s="417" t="s">
        <v>189</v>
      </c>
      <c r="K52" s="431" t="s">
        <v>188</v>
      </c>
      <c r="L52" s="406">
        <f t="shared" si="6"/>
        <v>11000000</v>
      </c>
      <c r="M52" s="416">
        <v>21456124</v>
      </c>
      <c r="N52" s="415" t="s">
        <v>360</v>
      </c>
      <c r="O52" s="415" t="s">
        <v>361</v>
      </c>
      <c r="P52" s="406"/>
      <c r="Q52" s="406"/>
      <c r="R52" s="406"/>
      <c r="S52" s="406"/>
      <c r="T52" s="406">
        <v>0</v>
      </c>
      <c r="U52" s="406">
        <v>0</v>
      </c>
      <c r="V52" s="406">
        <v>11000000</v>
      </c>
      <c r="W52" s="406">
        <v>11853864</v>
      </c>
      <c r="X52" s="500"/>
      <c r="Y52" s="500"/>
      <c r="Z52" s="500"/>
      <c r="AA52" s="499"/>
      <c r="AB52" s="499"/>
      <c r="AC52" s="499"/>
      <c r="AD52" s="499"/>
      <c r="AE52" s="499"/>
      <c r="AF52" s="499"/>
      <c r="AG52" s="499"/>
      <c r="AH52" s="499"/>
      <c r="AI52" s="499"/>
    </row>
    <row r="53" spans="1:35" ht="17.25" customHeight="1" x14ac:dyDescent="0.25">
      <c r="A53" s="464" t="s">
        <v>362</v>
      </c>
      <c r="B53" s="464" t="s">
        <v>180</v>
      </c>
      <c r="C53" s="464" t="s">
        <v>363</v>
      </c>
      <c r="D53" s="501" t="s">
        <v>364</v>
      </c>
      <c r="E53" s="410" t="s">
        <v>182</v>
      </c>
      <c r="F53" s="464" t="s">
        <v>223</v>
      </c>
      <c r="G53" s="431">
        <v>2310000</v>
      </c>
      <c r="H53" s="464" t="s">
        <v>365</v>
      </c>
      <c r="I53" s="431" t="s">
        <v>188</v>
      </c>
      <c r="J53" s="417" t="s">
        <v>189</v>
      </c>
      <c r="K53" s="431" t="s">
        <v>188</v>
      </c>
      <c r="L53" s="406">
        <f t="shared" si="6"/>
        <v>425683</v>
      </c>
      <c r="M53" s="416">
        <v>20695710</v>
      </c>
      <c r="N53" s="415" t="s">
        <v>360</v>
      </c>
      <c r="O53" s="415" t="s">
        <v>361</v>
      </c>
      <c r="P53" s="406"/>
      <c r="Q53" s="406">
        <v>20270027</v>
      </c>
      <c r="R53" s="406"/>
      <c r="S53" s="406"/>
      <c r="T53" s="406">
        <v>0</v>
      </c>
      <c r="U53" s="406">
        <v>0</v>
      </c>
      <c r="V53" s="406">
        <f>M53-Q53</f>
        <v>425683</v>
      </c>
      <c r="W53" s="406">
        <v>423423</v>
      </c>
      <c r="X53" s="500"/>
      <c r="Y53" s="500"/>
      <c r="Z53" s="500"/>
      <c r="AA53" s="499"/>
      <c r="AB53" s="499"/>
      <c r="AC53" s="499"/>
      <c r="AD53" s="499"/>
      <c r="AE53" s="499"/>
      <c r="AF53" s="499"/>
      <c r="AG53" s="499"/>
      <c r="AH53" s="499"/>
      <c r="AI53" s="499"/>
    </row>
    <row r="54" spans="1:35" ht="21" customHeight="1" x14ac:dyDescent="0.25">
      <c r="A54" s="426" t="s">
        <v>177</v>
      </c>
      <c r="B54" s="428" t="s">
        <v>180</v>
      </c>
      <c r="C54" s="428"/>
      <c r="D54" s="3198" t="s">
        <v>366</v>
      </c>
      <c r="E54" s="3199"/>
      <c r="F54" s="427" t="s">
        <v>367</v>
      </c>
      <c r="G54" s="426"/>
      <c r="H54" s="427"/>
      <c r="I54" s="426"/>
      <c r="J54" s="3198" t="s">
        <v>366</v>
      </c>
      <c r="K54" s="3199"/>
      <c r="L54" s="422">
        <f t="shared" ref="L54:V54" si="8">SUBTOTAL(9,L55:L70)</f>
        <v>4930953875</v>
      </c>
      <c r="M54" s="422">
        <f t="shared" si="8"/>
        <v>2678245259</v>
      </c>
      <c r="N54" s="422">
        <f t="shared" si="8"/>
        <v>0</v>
      </c>
      <c r="O54" s="422">
        <f t="shared" si="8"/>
        <v>0</v>
      </c>
      <c r="P54" s="422">
        <f t="shared" si="8"/>
        <v>0</v>
      </c>
      <c r="Q54" s="422">
        <f t="shared" si="8"/>
        <v>180026277</v>
      </c>
      <c r="R54" s="422">
        <f t="shared" si="8"/>
        <v>155000000</v>
      </c>
      <c r="S54" s="422">
        <f t="shared" si="8"/>
        <v>336000000</v>
      </c>
      <c r="T54" s="422">
        <f t="shared" si="8"/>
        <v>252065000</v>
      </c>
      <c r="U54" s="422">
        <f t="shared" si="8"/>
        <v>144632932</v>
      </c>
      <c r="V54" s="422">
        <f t="shared" si="8"/>
        <v>1022115000</v>
      </c>
      <c r="W54" s="423">
        <f>SUBTOTAL(9,W55:W71)</f>
        <v>1022115000</v>
      </c>
      <c r="X54" s="422">
        <f t="shared" ref="X54:AI54" si="9">SUBTOTAL(9,X55:X70)</f>
        <v>1262000000</v>
      </c>
      <c r="Y54" s="422">
        <f t="shared" si="9"/>
        <v>1262000000</v>
      </c>
      <c r="Z54" s="422">
        <f t="shared" si="9"/>
        <v>1062000000</v>
      </c>
      <c r="AA54" s="421">
        <f t="shared" si="9"/>
        <v>1262000000</v>
      </c>
      <c r="AB54" s="421">
        <f t="shared" si="9"/>
        <v>1262000000</v>
      </c>
      <c r="AC54" s="421">
        <f t="shared" si="9"/>
        <v>1062000000</v>
      </c>
      <c r="AD54" s="421">
        <f t="shared" si="9"/>
        <v>0</v>
      </c>
      <c r="AE54" s="421">
        <f t="shared" si="9"/>
        <v>0</v>
      </c>
      <c r="AF54" s="421">
        <f t="shared" si="9"/>
        <v>0</v>
      </c>
      <c r="AG54" s="421">
        <f t="shared" si="9"/>
        <v>0</v>
      </c>
      <c r="AH54" s="421">
        <f t="shared" si="9"/>
        <v>0</v>
      </c>
      <c r="AI54" s="421">
        <f t="shared" si="9"/>
        <v>0</v>
      </c>
    </row>
    <row r="55" spans="1:35" ht="33" x14ac:dyDescent="0.25">
      <c r="A55" s="430" t="s">
        <v>179</v>
      </c>
      <c r="B55" s="431" t="s">
        <v>180</v>
      </c>
      <c r="C55" s="413">
        <v>1011001</v>
      </c>
      <c r="D55" s="412" t="s">
        <v>181</v>
      </c>
      <c r="E55" s="431" t="s">
        <v>182</v>
      </c>
      <c r="F55" s="431" t="s">
        <v>367</v>
      </c>
      <c r="G55" s="431">
        <v>2310000</v>
      </c>
      <c r="H55" s="430">
        <v>3535</v>
      </c>
      <c r="I55" s="498" t="s">
        <v>368</v>
      </c>
      <c r="J55" s="419" t="s">
        <v>369</v>
      </c>
      <c r="K55" s="498" t="s">
        <v>368</v>
      </c>
      <c r="L55" s="405">
        <f t="shared" ref="L55:L60" si="10">P55+R55+U55+V55+X55+Y55+Z55</f>
        <v>2585623797</v>
      </c>
      <c r="M55" s="416">
        <v>1829000000</v>
      </c>
      <c r="N55" s="415" t="s">
        <v>192</v>
      </c>
      <c r="O55" s="415" t="s">
        <v>205</v>
      </c>
      <c r="P55" s="406"/>
      <c r="Q55" s="406">
        <v>25026277</v>
      </c>
      <c r="R55" s="406">
        <v>0</v>
      </c>
      <c r="S55" s="406"/>
      <c r="T55" s="423">
        <f>243065000-59000000+2000000-185484524</f>
        <v>580476</v>
      </c>
      <c r="U55" s="423"/>
      <c r="V55" s="406">
        <f>517673000-343009447+77960244+20000000-70000000</f>
        <v>202623797</v>
      </c>
      <c r="W55" s="406">
        <v>304759416</v>
      </c>
      <c r="X55" s="406">
        <v>859000000</v>
      </c>
      <c r="Y55" s="406">
        <v>862000000</v>
      </c>
      <c r="Z55" s="406">
        <v>662000000</v>
      </c>
      <c r="AA55" s="405">
        <v>859000000</v>
      </c>
      <c r="AB55" s="405">
        <v>862000000</v>
      </c>
      <c r="AC55" s="405">
        <v>662000000</v>
      </c>
      <c r="AD55" s="405"/>
      <c r="AE55" s="405"/>
      <c r="AF55" s="405"/>
      <c r="AG55" s="405"/>
      <c r="AH55" s="405"/>
      <c r="AI55" s="405"/>
    </row>
    <row r="56" spans="1:35" ht="33" x14ac:dyDescent="0.25">
      <c r="A56" s="430" t="s">
        <v>179</v>
      </c>
      <c r="B56" s="431" t="s">
        <v>180</v>
      </c>
      <c r="C56" s="413">
        <v>1011001</v>
      </c>
      <c r="D56" s="412" t="s">
        <v>181</v>
      </c>
      <c r="E56" s="431" t="s">
        <v>182</v>
      </c>
      <c r="F56" s="431" t="s">
        <v>367</v>
      </c>
      <c r="G56" s="431">
        <v>2310000</v>
      </c>
      <c r="H56" s="430">
        <v>3535</v>
      </c>
      <c r="I56" s="498" t="s">
        <v>370</v>
      </c>
      <c r="J56" s="419" t="s">
        <v>371</v>
      </c>
      <c r="K56" s="498" t="s">
        <v>370</v>
      </c>
      <c r="L56" s="405">
        <f t="shared" si="10"/>
        <v>1259132260</v>
      </c>
      <c r="M56" s="416"/>
      <c r="N56" s="415"/>
      <c r="O56" s="415"/>
      <c r="P56" s="406"/>
      <c r="Q56" s="406"/>
      <c r="R56" s="406"/>
      <c r="S56" s="406"/>
      <c r="T56" s="423">
        <f>59000000-40000000</f>
        <v>19000000</v>
      </c>
      <c r="U56" s="423"/>
      <c r="V56" s="406">
        <f>210000000+66132259-6999999</f>
        <v>269132260</v>
      </c>
      <c r="W56" s="406">
        <v>130000000</v>
      </c>
      <c r="X56" s="406">
        <v>330000000</v>
      </c>
      <c r="Y56" s="406">
        <v>330000000</v>
      </c>
      <c r="Z56" s="406">
        <v>330000000</v>
      </c>
      <c r="AA56" s="405">
        <v>330000000</v>
      </c>
      <c r="AB56" s="405">
        <v>330000000</v>
      </c>
      <c r="AC56" s="405">
        <v>330000000</v>
      </c>
      <c r="AD56" s="405"/>
      <c r="AE56" s="405"/>
      <c r="AF56" s="405"/>
      <c r="AG56" s="405"/>
      <c r="AH56" s="405"/>
      <c r="AI56" s="405"/>
    </row>
    <row r="57" spans="1:35" ht="16.5" x14ac:dyDescent="0.25">
      <c r="A57" s="430" t="s">
        <v>179</v>
      </c>
      <c r="B57" s="431" t="s">
        <v>180</v>
      </c>
      <c r="C57" s="413">
        <v>1011001</v>
      </c>
      <c r="D57" s="412" t="s">
        <v>181</v>
      </c>
      <c r="E57" s="431" t="s">
        <v>182</v>
      </c>
      <c r="F57" s="431" t="s">
        <v>367</v>
      </c>
      <c r="G57" s="431">
        <v>2310000</v>
      </c>
      <c r="H57" s="430" t="s">
        <v>202</v>
      </c>
      <c r="I57" s="431" t="s">
        <v>372</v>
      </c>
      <c r="J57" s="417" t="s">
        <v>373</v>
      </c>
      <c r="K57" s="431" t="s">
        <v>372</v>
      </c>
      <c r="L57" s="405">
        <f t="shared" si="10"/>
        <v>150000000</v>
      </c>
      <c r="M57" s="416">
        <v>90000000</v>
      </c>
      <c r="N57" s="415" t="s">
        <v>192</v>
      </c>
      <c r="O57" s="415" t="s">
        <v>205</v>
      </c>
      <c r="P57" s="406"/>
      <c r="Q57" s="406">
        <v>30000000</v>
      </c>
      <c r="R57" s="406">
        <v>30000000</v>
      </c>
      <c r="S57" s="406">
        <f>+L57-P57-Q57</f>
        <v>120000000</v>
      </c>
      <c r="T57" s="406">
        <v>0</v>
      </c>
      <c r="U57" s="406"/>
      <c r="V57" s="406">
        <v>30000000</v>
      </c>
      <c r="W57" s="406">
        <v>30000000</v>
      </c>
      <c r="X57" s="406">
        <v>30000000</v>
      </c>
      <c r="Y57" s="406">
        <v>30000000</v>
      </c>
      <c r="Z57" s="406">
        <v>30000000</v>
      </c>
      <c r="AA57" s="405">
        <v>30000000</v>
      </c>
      <c r="AB57" s="405">
        <v>30000000</v>
      </c>
      <c r="AC57" s="405">
        <v>30000000</v>
      </c>
      <c r="AD57" s="405"/>
      <c r="AE57" s="405"/>
      <c r="AF57" s="405"/>
      <c r="AG57" s="405"/>
      <c r="AH57" s="405"/>
      <c r="AI57" s="405"/>
    </row>
    <row r="58" spans="1:35" ht="18.75" customHeight="1" x14ac:dyDescent="0.25">
      <c r="A58" s="430" t="s">
        <v>179</v>
      </c>
      <c r="B58" s="431" t="s">
        <v>180</v>
      </c>
      <c r="C58" s="413">
        <v>1011001</v>
      </c>
      <c r="D58" s="412" t="s">
        <v>181</v>
      </c>
      <c r="E58" s="431" t="s">
        <v>182</v>
      </c>
      <c r="F58" s="431" t="s">
        <v>367</v>
      </c>
      <c r="G58" s="431" t="s">
        <v>183</v>
      </c>
      <c r="H58" s="430">
        <v>3535</v>
      </c>
      <c r="I58" s="431" t="s">
        <v>374</v>
      </c>
      <c r="J58" s="417" t="s">
        <v>375</v>
      </c>
      <c r="K58" s="431" t="s">
        <v>374</v>
      </c>
      <c r="L58" s="405">
        <f t="shared" si="10"/>
        <v>178000000</v>
      </c>
      <c r="M58" s="416">
        <v>171000000</v>
      </c>
      <c r="N58" s="415" t="s">
        <v>192</v>
      </c>
      <c r="O58" s="415" t="s">
        <v>205</v>
      </c>
      <c r="P58" s="406"/>
      <c r="Q58" s="406">
        <v>25000000</v>
      </c>
      <c r="R58" s="406">
        <v>25000000</v>
      </c>
      <c r="S58" s="406">
        <f>+L58-P58-Q58</f>
        <v>153000000</v>
      </c>
      <c r="T58" s="406">
        <v>50000000</v>
      </c>
      <c r="U58" s="406"/>
      <c r="V58" s="406">
        <v>60000000</v>
      </c>
      <c r="W58" s="406">
        <v>60000000</v>
      </c>
      <c r="X58" s="406">
        <v>33000000</v>
      </c>
      <c r="Y58" s="406">
        <v>30000000</v>
      </c>
      <c r="Z58" s="406">
        <v>30000000</v>
      </c>
      <c r="AA58" s="405">
        <v>33000000</v>
      </c>
      <c r="AB58" s="405">
        <v>30000000</v>
      </c>
      <c r="AC58" s="405">
        <v>30000000</v>
      </c>
      <c r="AD58" s="405"/>
      <c r="AE58" s="405"/>
      <c r="AF58" s="405"/>
      <c r="AG58" s="405"/>
      <c r="AH58" s="405"/>
      <c r="AI58" s="405"/>
    </row>
    <row r="59" spans="1:35" ht="11.45" customHeight="1" x14ac:dyDescent="0.25">
      <c r="A59" s="430" t="s">
        <v>179</v>
      </c>
      <c r="B59" s="431" t="s">
        <v>180</v>
      </c>
      <c r="C59" s="413">
        <v>1011001</v>
      </c>
      <c r="D59" s="412" t="s">
        <v>181</v>
      </c>
      <c r="E59" s="431" t="s">
        <v>182</v>
      </c>
      <c r="F59" s="431" t="s">
        <v>367</v>
      </c>
      <c r="G59" s="431" t="s">
        <v>183</v>
      </c>
      <c r="H59" s="430">
        <v>3535</v>
      </c>
      <c r="I59" s="431" t="s">
        <v>188</v>
      </c>
      <c r="J59" s="417" t="s">
        <v>189</v>
      </c>
      <c r="K59" s="431" t="s">
        <v>188</v>
      </c>
      <c r="L59" s="405">
        <f t="shared" si="10"/>
        <v>120000000</v>
      </c>
      <c r="M59" s="416"/>
      <c r="N59" s="415" t="s">
        <v>192</v>
      </c>
      <c r="O59" s="415" t="s">
        <v>205</v>
      </c>
      <c r="P59" s="406"/>
      <c r="Q59" s="406">
        <v>90000000</v>
      </c>
      <c r="R59" s="406">
        <v>90000000</v>
      </c>
      <c r="S59" s="406">
        <f>+L59-P59-Q59</f>
        <v>30000000</v>
      </c>
      <c r="T59" s="423">
        <f>28000000-25000000</f>
        <v>3000000</v>
      </c>
      <c r="U59" s="423">
        <v>0</v>
      </c>
      <c r="V59" s="406">
        <v>30000000</v>
      </c>
      <c r="W59" s="406">
        <v>30000000</v>
      </c>
      <c r="X59" s="406">
        <v>0</v>
      </c>
      <c r="Y59" s="406">
        <v>0</v>
      </c>
      <c r="Z59" s="406">
        <v>0</v>
      </c>
      <c r="AA59" s="405">
        <v>0</v>
      </c>
      <c r="AB59" s="405">
        <v>0</v>
      </c>
      <c r="AC59" s="405">
        <v>0</v>
      </c>
      <c r="AD59" s="405"/>
      <c r="AE59" s="405"/>
      <c r="AF59" s="405"/>
      <c r="AG59" s="405"/>
      <c r="AH59" s="405"/>
      <c r="AI59" s="405"/>
    </row>
    <row r="60" spans="1:35" ht="13.15" customHeight="1" x14ac:dyDescent="0.25">
      <c r="A60" s="430" t="s">
        <v>179</v>
      </c>
      <c r="B60" s="431" t="s">
        <v>180</v>
      </c>
      <c r="C60" s="413">
        <v>1011001</v>
      </c>
      <c r="D60" s="412" t="s">
        <v>181</v>
      </c>
      <c r="E60" s="431" t="s">
        <v>182</v>
      </c>
      <c r="F60" s="431" t="s">
        <v>367</v>
      </c>
      <c r="G60" s="431" t="s">
        <v>183</v>
      </c>
      <c r="H60" s="430">
        <v>3535</v>
      </c>
      <c r="I60" s="431" t="s">
        <v>376</v>
      </c>
      <c r="J60" s="417" t="s">
        <v>377</v>
      </c>
      <c r="K60" s="431" t="s">
        <v>376</v>
      </c>
      <c r="L60" s="405">
        <f t="shared" si="10"/>
        <v>43000000</v>
      </c>
      <c r="M60" s="416">
        <v>31000000</v>
      </c>
      <c r="N60" s="415" t="s">
        <v>205</v>
      </c>
      <c r="O60" s="415" t="s">
        <v>187</v>
      </c>
      <c r="P60" s="406"/>
      <c r="Q60" s="406">
        <v>10000000</v>
      </c>
      <c r="R60" s="406">
        <v>10000000</v>
      </c>
      <c r="S60" s="406">
        <f>+L60-P60-Q60</f>
        <v>33000000</v>
      </c>
      <c r="T60" s="406">
        <v>0</v>
      </c>
      <c r="U60" s="406"/>
      <c r="V60" s="406">
        <v>3000000</v>
      </c>
      <c r="W60" s="406">
        <v>10000000</v>
      </c>
      <c r="X60" s="406">
        <v>10000000</v>
      </c>
      <c r="Y60" s="406">
        <v>10000000</v>
      </c>
      <c r="Z60" s="406">
        <v>10000000</v>
      </c>
      <c r="AA60" s="405">
        <v>10000000</v>
      </c>
      <c r="AB60" s="405">
        <v>10000000</v>
      </c>
      <c r="AC60" s="405">
        <v>10000000</v>
      </c>
      <c r="AD60" s="405"/>
      <c r="AE60" s="405"/>
      <c r="AF60" s="405"/>
      <c r="AG60" s="405"/>
      <c r="AH60" s="405"/>
      <c r="AI60" s="405"/>
    </row>
    <row r="61" spans="1:35" ht="11.45" customHeight="1" x14ac:dyDescent="0.25">
      <c r="A61" s="497" t="s">
        <v>378</v>
      </c>
      <c r="B61" s="476" t="s">
        <v>180</v>
      </c>
      <c r="C61" s="497" t="s">
        <v>379</v>
      </c>
      <c r="D61" s="496" t="s">
        <v>380</v>
      </c>
      <c r="E61" s="482" t="s">
        <v>182</v>
      </c>
      <c r="F61" s="485" t="s">
        <v>367</v>
      </c>
      <c r="G61" s="483">
        <v>2310000</v>
      </c>
      <c r="H61" s="494" t="s">
        <v>381</v>
      </c>
      <c r="I61" s="480" t="s">
        <v>382</v>
      </c>
      <c r="J61" s="495" t="s">
        <v>383</v>
      </c>
      <c r="K61" s="480" t="s">
        <v>382</v>
      </c>
      <c r="L61" s="406">
        <v>64044153</v>
      </c>
      <c r="M61" s="416">
        <v>62781144</v>
      </c>
      <c r="N61" s="415" t="s">
        <v>192</v>
      </c>
      <c r="O61" s="415" t="s">
        <v>205</v>
      </c>
      <c r="P61" s="406"/>
      <c r="Q61" s="406"/>
      <c r="R61" s="406"/>
      <c r="S61" s="406"/>
      <c r="T61" s="467">
        <v>25617660</v>
      </c>
      <c r="U61" s="467">
        <v>25611611</v>
      </c>
      <c r="V61" s="467">
        <f t="shared" ref="V61:V66" si="11">M61-P61-R61-U61</f>
        <v>37169533</v>
      </c>
      <c r="W61" s="467">
        <v>37169533</v>
      </c>
      <c r="X61" s="406"/>
      <c r="Y61" s="406"/>
      <c r="Z61" s="406"/>
      <c r="AA61" s="405"/>
      <c r="AB61" s="405"/>
      <c r="AC61" s="405"/>
      <c r="AD61" s="405"/>
      <c r="AE61" s="405"/>
      <c r="AF61" s="405"/>
      <c r="AG61" s="405"/>
      <c r="AH61" s="405"/>
      <c r="AI61" s="405"/>
    </row>
    <row r="62" spans="1:35" ht="16.5" x14ac:dyDescent="0.25">
      <c r="A62" s="465" t="s">
        <v>384</v>
      </c>
      <c r="B62" s="476" t="s">
        <v>180</v>
      </c>
      <c r="C62" s="465" t="s">
        <v>385</v>
      </c>
      <c r="D62" s="478" t="s">
        <v>386</v>
      </c>
      <c r="E62" s="482" t="s">
        <v>182</v>
      </c>
      <c r="F62" s="485" t="s">
        <v>367</v>
      </c>
      <c r="G62" s="483">
        <v>2310000</v>
      </c>
      <c r="H62" s="494" t="s">
        <v>381</v>
      </c>
      <c r="I62" s="480" t="s">
        <v>387</v>
      </c>
      <c r="J62" s="493" t="s">
        <v>388</v>
      </c>
      <c r="K62" s="480" t="s">
        <v>387</v>
      </c>
      <c r="L62" s="406">
        <v>52170346</v>
      </c>
      <c r="M62" s="416">
        <v>52263124</v>
      </c>
      <c r="N62" s="415" t="s">
        <v>192</v>
      </c>
      <c r="O62" s="415" t="s">
        <v>205</v>
      </c>
      <c r="P62" s="406"/>
      <c r="Q62" s="406"/>
      <c r="R62" s="406"/>
      <c r="S62" s="406"/>
      <c r="T62" s="467">
        <v>26355173</v>
      </c>
      <c r="U62" s="467">
        <v>26051632</v>
      </c>
      <c r="V62" s="467">
        <f t="shared" si="11"/>
        <v>26211492</v>
      </c>
      <c r="W62" s="467">
        <v>26211492</v>
      </c>
      <c r="X62" s="406"/>
      <c r="Y62" s="406"/>
      <c r="Z62" s="406"/>
      <c r="AA62" s="405"/>
      <c r="AB62" s="405"/>
      <c r="AC62" s="405"/>
      <c r="AD62" s="405"/>
      <c r="AE62" s="405"/>
      <c r="AF62" s="405"/>
      <c r="AG62" s="405"/>
      <c r="AH62" s="405"/>
      <c r="AI62" s="405"/>
    </row>
    <row r="63" spans="1:35" ht="15.75" customHeight="1" x14ac:dyDescent="0.25">
      <c r="A63" s="465" t="s">
        <v>389</v>
      </c>
      <c r="B63" s="476" t="s">
        <v>180</v>
      </c>
      <c r="C63" s="465" t="s">
        <v>390</v>
      </c>
      <c r="D63" s="478" t="s">
        <v>391</v>
      </c>
      <c r="E63" s="482" t="s">
        <v>182</v>
      </c>
      <c r="F63" s="485" t="s">
        <v>367</v>
      </c>
      <c r="G63" s="483">
        <v>2310000</v>
      </c>
      <c r="H63" s="492" t="s">
        <v>392</v>
      </c>
      <c r="I63" s="480" t="s">
        <v>393</v>
      </c>
      <c r="J63" s="481" t="s">
        <v>394</v>
      </c>
      <c r="K63" s="480" t="s">
        <v>393</v>
      </c>
      <c r="L63" s="406">
        <v>74157568</v>
      </c>
      <c r="M63" s="416">
        <v>73744247</v>
      </c>
      <c r="N63" s="415" t="s">
        <v>192</v>
      </c>
      <c r="O63" s="415" t="s">
        <v>205</v>
      </c>
      <c r="P63" s="406"/>
      <c r="Q63" s="406"/>
      <c r="R63" s="406"/>
      <c r="S63" s="406"/>
      <c r="T63" s="491">
        <v>29663027</v>
      </c>
      <c r="U63" s="491">
        <v>29648353</v>
      </c>
      <c r="V63" s="467">
        <f t="shared" si="11"/>
        <v>44095894</v>
      </c>
      <c r="W63" s="467">
        <v>44095894</v>
      </c>
      <c r="X63" s="406"/>
      <c r="Y63" s="406"/>
      <c r="Z63" s="406"/>
      <c r="AA63" s="405"/>
      <c r="AB63" s="405"/>
      <c r="AC63" s="405"/>
      <c r="AD63" s="405"/>
      <c r="AE63" s="405"/>
      <c r="AF63" s="405"/>
      <c r="AG63" s="405"/>
      <c r="AH63" s="405"/>
      <c r="AI63" s="405"/>
    </row>
    <row r="64" spans="1:35" ht="16.5" x14ac:dyDescent="0.25">
      <c r="A64" s="490">
        <v>111</v>
      </c>
      <c r="B64" s="476" t="s">
        <v>180</v>
      </c>
      <c r="C64" s="489">
        <v>2111001</v>
      </c>
      <c r="D64" s="478" t="s">
        <v>395</v>
      </c>
      <c r="E64" s="482" t="s">
        <v>182</v>
      </c>
      <c r="F64" s="488" t="s">
        <v>367</v>
      </c>
      <c r="G64" s="483">
        <v>2310000</v>
      </c>
      <c r="H64" s="487" t="s">
        <v>195</v>
      </c>
      <c r="I64" s="480" t="s">
        <v>396</v>
      </c>
      <c r="J64" s="486" t="s">
        <v>397</v>
      </c>
      <c r="K64" s="480" t="s">
        <v>396</v>
      </c>
      <c r="L64" s="406">
        <v>108687502</v>
      </c>
      <c r="M64" s="416">
        <v>105252950</v>
      </c>
      <c r="N64" s="415" t="s">
        <v>192</v>
      </c>
      <c r="O64" s="415" t="s">
        <v>205</v>
      </c>
      <c r="P64" s="406"/>
      <c r="Q64" s="406"/>
      <c r="R64" s="406"/>
      <c r="S64" s="406"/>
      <c r="T64" s="467">
        <v>43475001</v>
      </c>
      <c r="U64" s="467">
        <v>43475001</v>
      </c>
      <c r="V64" s="467">
        <f t="shared" si="11"/>
        <v>61777949</v>
      </c>
      <c r="W64" s="467">
        <v>61777949</v>
      </c>
      <c r="X64" s="406">
        <v>0</v>
      </c>
      <c r="Y64" s="406">
        <v>0</v>
      </c>
      <c r="Z64" s="406">
        <v>0</v>
      </c>
      <c r="AA64" s="405">
        <v>0</v>
      </c>
      <c r="AB64" s="405">
        <v>0</v>
      </c>
      <c r="AC64" s="405">
        <v>0</v>
      </c>
      <c r="AD64" s="405">
        <v>0</v>
      </c>
      <c r="AE64" s="405">
        <v>0</v>
      </c>
      <c r="AF64" s="405">
        <v>0</v>
      </c>
      <c r="AG64" s="405">
        <v>0</v>
      </c>
      <c r="AH64" s="405">
        <v>0</v>
      </c>
      <c r="AI64" s="405">
        <v>0</v>
      </c>
    </row>
    <row r="65" spans="1:35" ht="18" customHeight="1" x14ac:dyDescent="0.25">
      <c r="A65" s="482" t="s">
        <v>398</v>
      </c>
      <c r="B65" s="476" t="s">
        <v>180</v>
      </c>
      <c r="C65" s="465" t="s">
        <v>399</v>
      </c>
      <c r="D65" s="478" t="s">
        <v>400</v>
      </c>
      <c r="E65" s="482" t="s">
        <v>182</v>
      </c>
      <c r="F65" s="485" t="s">
        <v>367</v>
      </c>
      <c r="G65" s="483">
        <v>2310000</v>
      </c>
      <c r="H65" s="482" t="s">
        <v>401</v>
      </c>
      <c r="I65" s="480" t="s">
        <v>402</v>
      </c>
      <c r="J65" s="477" t="s">
        <v>403</v>
      </c>
      <c r="K65" s="480" t="s">
        <v>402</v>
      </c>
      <c r="L65" s="406">
        <v>45844310</v>
      </c>
      <c r="M65" s="416">
        <v>44923261</v>
      </c>
      <c r="N65" s="415" t="s">
        <v>192</v>
      </c>
      <c r="O65" s="415" t="s">
        <v>205</v>
      </c>
      <c r="P65" s="406"/>
      <c r="Q65" s="406"/>
      <c r="R65" s="406"/>
      <c r="S65" s="406"/>
      <c r="T65" s="467">
        <v>18337724</v>
      </c>
      <c r="U65" s="467">
        <v>6946502</v>
      </c>
      <c r="V65" s="467">
        <f t="shared" si="11"/>
        <v>37976759</v>
      </c>
      <c r="W65" s="467">
        <v>37976759</v>
      </c>
      <c r="X65" s="406">
        <v>0</v>
      </c>
      <c r="Y65" s="406">
        <v>0</v>
      </c>
      <c r="Z65" s="406">
        <v>0</v>
      </c>
      <c r="AA65" s="405">
        <v>0</v>
      </c>
      <c r="AB65" s="405">
        <v>0</v>
      </c>
      <c r="AC65" s="405">
        <v>0</v>
      </c>
      <c r="AD65" s="405">
        <v>0</v>
      </c>
      <c r="AE65" s="405">
        <v>0</v>
      </c>
      <c r="AF65" s="405">
        <v>0</v>
      </c>
      <c r="AG65" s="405">
        <v>0</v>
      </c>
      <c r="AH65" s="405">
        <v>0</v>
      </c>
      <c r="AI65" s="405">
        <v>0</v>
      </c>
    </row>
    <row r="66" spans="1:35" ht="16.5" x14ac:dyDescent="0.25">
      <c r="A66" s="482" t="s">
        <v>404</v>
      </c>
      <c r="B66" s="476" t="s">
        <v>180</v>
      </c>
      <c r="C66" s="465" t="s">
        <v>405</v>
      </c>
      <c r="D66" s="478" t="s">
        <v>406</v>
      </c>
      <c r="E66" s="482" t="s">
        <v>182</v>
      </c>
      <c r="F66" s="484" t="s">
        <v>367</v>
      </c>
      <c r="G66" s="483">
        <v>2310000</v>
      </c>
      <c r="H66" s="482" t="s">
        <v>407</v>
      </c>
      <c r="I66" s="480" t="s">
        <v>408</v>
      </c>
      <c r="J66" s="481" t="s">
        <v>409</v>
      </c>
      <c r="K66" s="480" t="s">
        <v>408</v>
      </c>
      <c r="L66" s="406">
        <v>32308340</v>
      </c>
      <c r="M66" s="416">
        <v>27560515</v>
      </c>
      <c r="N66" s="415" t="s">
        <v>192</v>
      </c>
      <c r="O66" s="415" t="s">
        <v>205</v>
      </c>
      <c r="P66" s="406"/>
      <c r="Q66" s="406"/>
      <c r="R66" s="406"/>
      <c r="S66" s="406"/>
      <c r="T66" s="467">
        <v>12923336</v>
      </c>
      <c r="U66" s="467">
        <v>12899833</v>
      </c>
      <c r="V66" s="467">
        <f t="shared" si="11"/>
        <v>14660682</v>
      </c>
      <c r="W66" s="467">
        <v>14660682</v>
      </c>
      <c r="X66" s="406">
        <v>0</v>
      </c>
      <c r="Y66" s="406">
        <v>0</v>
      </c>
      <c r="Z66" s="406">
        <v>0</v>
      </c>
      <c r="AA66" s="405">
        <v>0</v>
      </c>
      <c r="AB66" s="405">
        <v>0</v>
      </c>
      <c r="AC66" s="405">
        <v>0</v>
      </c>
      <c r="AD66" s="405">
        <v>0</v>
      </c>
      <c r="AE66" s="405">
        <v>0</v>
      </c>
      <c r="AF66" s="405">
        <v>0</v>
      </c>
      <c r="AG66" s="405">
        <v>0</v>
      </c>
      <c r="AH66" s="405">
        <v>0</v>
      </c>
      <c r="AI66" s="405">
        <v>0</v>
      </c>
    </row>
    <row r="67" spans="1:35" ht="15" customHeight="1" x14ac:dyDescent="0.25">
      <c r="A67" s="482" t="s">
        <v>331</v>
      </c>
      <c r="B67" s="476" t="s">
        <v>180</v>
      </c>
      <c r="C67" s="465" t="s">
        <v>332</v>
      </c>
      <c r="D67" s="478" t="s">
        <v>333</v>
      </c>
      <c r="E67" s="482" t="s">
        <v>182</v>
      </c>
      <c r="F67" s="484" t="s">
        <v>367</v>
      </c>
      <c r="G67" s="483">
        <v>2310000</v>
      </c>
      <c r="H67" s="482" t="s">
        <v>334</v>
      </c>
      <c r="I67" s="480" t="s">
        <v>410</v>
      </c>
      <c r="J67" s="481" t="s">
        <v>411</v>
      </c>
      <c r="K67" s="480" t="s">
        <v>410</v>
      </c>
      <c r="L67" s="406">
        <v>72781508</v>
      </c>
      <c r="M67" s="479">
        <v>69974394</v>
      </c>
      <c r="N67" s="415" t="s">
        <v>192</v>
      </c>
      <c r="O67" s="415" t="s">
        <v>205</v>
      </c>
      <c r="P67" s="406"/>
      <c r="Q67" s="406"/>
      <c r="R67" s="406"/>
      <c r="S67" s="406"/>
      <c r="T67" s="467">
        <v>112603</v>
      </c>
      <c r="U67" s="467">
        <v>0</v>
      </c>
      <c r="V67" s="467">
        <f>M67-P67-R67-U67-30000000</f>
        <v>39974394</v>
      </c>
      <c r="W67" s="467">
        <v>69971035</v>
      </c>
      <c r="X67" s="406">
        <v>0</v>
      </c>
      <c r="Y67" s="406">
        <v>0</v>
      </c>
      <c r="Z67" s="406">
        <v>0</v>
      </c>
      <c r="AA67" s="405">
        <v>0</v>
      </c>
      <c r="AB67" s="405">
        <v>0</v>
      </c>
      <c r="AC67" s="405">
        <v>0</v>
      </c>
      <c r="AD67" s="405">
        <v>0</v>
      </c>
      <c r="AE67" s="405">
        <v>0</v>
      </c>
      <c r="AF67" s="405">
        <v>0</v>
      </c>
      <c r="AG67" s="405">
        <v>0</v>
      </c>
      <c r="AH67" s="405">
        <v>0</v>
      </c>
      <c r="AI67" s="405">
        <v>0</v>
      </c>
    </row>
    <row r="68" spans="1:35" ht="18" customHeight="1" x14ac:dyDescent="0.25">
      <c r="A68" s="430" t="s">
        <v>321</v>
      </c>
      <c r="B68" s="476" t="s">
        <v>180</v>
      </c>
      <c r="C68" s="465" t="s">
        <v>322</v>
      </c>
      <c r="D68" s="478" t="s">
        <v>412</v>
      </c>
      <c r="E68" s="431" t="s">
        <v>182</v>
      </c>
      <c r="F68" s="431" t="s">
        <v>367</v>
      </c>
      <c r="G68" s="431">
        <v>2310000</v>
      </c>
      <c r="H68" s="430" t="s">
        <v>202</v>
      </c>
      <c r="I68" s="431" t="s">
        <v>413</v>
      </c>
      <c r="J68" s="477" t="s">
        <v>414</v>
      </c>
      <c r="K68" s="431" t="s">
        <v>413</v>
      </c>
      <c r="L68" s="469">
        <v>118387443</v>
      </c>
      <c r="M68" s="416">
        <v>115492240</v>
      </c>
      <c r="N68" s="415" t="s">
        <v>192</v>
      </c>
      <c r="O68" s="415" t="s">
        <v>205</v>
      </c>
      <c r="P68" s="406"/>
      <c r="Q68" s="406"/>
      <c r="R68" s="406"/>
      <c r="S68" s="406"/>
      <c r="T68" s="406">
        <v>23000000</v>
      </c>
      <c r="U68" s="468"/>
      <c r="V68" s="467">
        <f>M68-P68-R68-U68</f>
        <v>115492240</v>
      </c>
      <c r="W68" s="467">
        <v>115492240</v>
      </c>
      <c r="X68" s="406">
        <v>0</v>
      </c>
      <c r="Y68" s="406">
        <v>0</v>
      </c>
      <c r="Z68" s="406">
        <v>0</v>
      </c>
      <c r="AA68" s="405">
        <v>0</v>
      </c>
      <c r="AB68" s="405">
        <v>0</v>
      </c>
      <c r="AC68" s="405">
        <v>0</v>
      </c>
      <c r="AD68" s="405">
        <v>0</v>
      </c>
      <c r="AE68" s="405">
        <v>0</v>
      </c>
      <c r="AF68" s="405">
        <v>0</v>
      </c>
      <c r="AG68" s="405">
        <v>0</v>
      </c>
      <c r="AH68" s="405">
        <v>0</v>
      </c>
      <c r="AI68" s="405">
        <v>0</v>
      </c>
    </row>
    <row r="69" spans="1:35" ht="16.149999999999999" customHeight="1" x14ac:dyDescent="0.25">
      <c r="A69" s="430" t="s">
        <v>415</v>
      </c>
      <c r="B69" s="476" t="s">
        <v>180</v>
      </c>
      <c r="C69" s="470" t="s">
        <v>416</v>
      </c>
      <c r="D69" s="475" t="s">
        <v>417</v>
      </c>
      <c r="E69" s="474" t="s">
        <v>182</v>
      </c>
      <c r="F69" s="473">
        <v>9230</v>
      </c>
      <c r="G69" s="473">
        <v>2310000</v>
      </c>
      <c r="H69" s="472" t="s">
        <v>318</v>
      </c>
      <c r="I69" s="470" t="s">
        <v>418</v>
      </c>
      <c r="J69" s="471" t="s">
        <v>419</v>
      </c>
      <c r="K69" s="470" t="s">
        <v>418</v>
      </c>
      <c r="L69" s="469">
        <f>W69</f>
        <v>5252384</v>
      </c>
      <c r="M69" s="416">
        <v>5253384</v>
      </c>
      <c r="N69" s="415"/>
      <c r="O69" s="415"/>
      <c r="P69" s="406"/>
      <c r="Q69" s="406"/>
      <c r="R69" s="406"/>
      <c r="S69" s="406"/>
      <c r="T69" s="406"/>
      <c r="U69" s="468"/>
      <c r="V69" s="467"/>
      <c r="W69" s="406">
        <v>5252384</v>
      </c>
      <c r="X69" s="406"/>
      <c r="Y69" s="406"/>
      <c r="Z69" s="406"/>
      <c r="AA69" s="405"/>
      <c r="AB69" s="405"/>
      <c r="AC69" s="405"/>
      <c r="AD69" s="405"/>
      <c r="AE69" s="405"/>
      <c r="AF69" s="405"/>
      <c r="AG69" s="405"/>
      <c r="AH69" s="405"/>
      <c r="AI69" s="405"/>
    </row>
    <row r="70" spans="1:35" ht="12.6" customHeight="1" x14ac:dyDescent="0.25">
      <c r="A70" s="463" t="s">
        <v>179</v>
      </c>
      <c r="B70" s="463" t="s">
        <v>180</v>
      </c>
      <c r="C70" s="463" t="s">
        <v>420</v>
      </c>
      <c r="D70" s="412" t="s">
        <v>181</v>
      </c>
      <c r="E70" s="464" t="s">
        <v>421</v>
      </c>
      <c r="F70" s="431" t="s">
        <v>367</v>
      </c>
      <c r="G70" s="431">
        <v>2310000</v>
      </c>
      <c r="H70" s="463" t="s">
        <v>202</v>
      </c>
      <c r="I70" s="465" t="s">
        <v>422</v>
      </c>
      <c r="J70" s="466" t="s">
        <v>423</v>
      </c>
      <c r="K70" s="465" t="s">
        <v>422</v>
      </c>
      <c r="L70" s="406">
        <v>21564264</v>
      </c>
      <c r="M70" s="429"/>
      <c r="N70" s="415"/>
      <c r="O70" s="415"/>
      <c r="P70" s="406"/>
      <c r="Q70" s="406"/>
      <c r="R70" s="406"/>
      <c r="S70" s="406"/>
      <c r="T70" s="406"/>
      <c r="U70" s="406">
        <v>0</v>
      </c>
      <c r="V70" s="406">
        <v>50000000</v>
      </c>
      <c r="W70" s="406">
        <v>21564264</v>
      </c>
      <c r="X70" s="406">
        <v>0</v>
      </c>
      <c r="Y70" s="406">
        <v>0</v>
      </c>
      <c r="Z70" s="406">
        <v>0</v>
      </c>
      <c r="AA70" s="405">
        <v>0</v>
      </c>
      <c r="AB70" s="405">
        <v>0</v>
      </c>
      <c r="AC70" s="405">
        <v>0</v>
      </c>
      <c r="AD70" s="405">
        <v>0</v>
      </c>
      <c r="AE70" s="405">
        <v>0</v>
      </c>
      <c r="AF70" s="405">
        <v>0</v>
      </c>
      <c r="AG70" s="405">
        <v>0</v>
      </c>
      <c r="AH70" s="405">
        <v>0</v>
      </c>
      <c r="AI70" s="405">
        <v>0</v>
      </c>
    </row>
    <row r="71" spans="1:35" ht="19.899999999999999" customHeight="1" x14ac:dyDescent="0.25">
      <c r="A71" s="463" t="s">
        <v>179</v>
      </c>
      <c r="B71" s="463" t="s">
        <v>180</v>
      </c>
      <c r="C71" s="463" t="s">
        <v>420</v>
      </c>
      <c r="D71" s="463" t="s">
        <v>424</v>
      </c>
      <c r="E71" s="464" t="s">
        <v>421</v>
      </c>
      <c r="F71" s="463" t="s">
        <v>367</v>
      </c>
      <c r="G71" s="431">
        <v>2310000</v>
      </c>
      <c r="H71" s="463" t="s">
        <v>202</v>
      </c>
      <c r="I71" s="462"/>
      <c r="J71" s="461" t="s">
        <v>569</v>
      </c>
      <c r="K71" s="460" t="s">
        <v>426</v>
      </c>
      <c r="L71" s="406">
        <f>W71</f>
        <v>23183352</v>
      </c>
      <c r="M71" s="429"/>
      <c r="N71" s="415"/>
      <c r="O71" s="415"/>
      <c r="P71" s="406"/>
      <c r="Q71" s="406"/>
      <c r="R71" s="406"/>
      <c r="S71" s="406"/>
      <c r="T71" s="406"/>
      <c r="U71" s="406"/>
      <c r="V71" s="406">
        <v>0</v>
      </c>
      <c r="W71" s="416">
        <v>23183352</v>
      </c>
      <c r="X71" s="406"/>
      <c r="Y71" s="406"/>
      <c r="Z71" s="406"/>
      <c r="AA71" s="405"/>
      <c r="AB71" s="405"/>
      <c r="AC71" s="405"/>
      <c r="AD71" s="405"/>
      <c r="AE71" s="405"/>
      <c r="AF71" s="405"/>
      <c r="AG71" s="405"/>
      <c r="AH71" s="405"/>
      <c r="AI71" s="405"/>
    </row>
    <row r="72" spans="1:35" ht="41.25" x14ac:dyDescent="0.25">
      <c r="A72" s="426" t="s">
        <v>177</v>
      </c>
      <c r="B72" s="428" t="s">
        <v>180</v>
      </c>
      <c r="C72" s="428"/>
      <c r="D72" s="426" t="s">
        <v>427</v>
      </c>
      <c r="E72" s="427"/>
      <c r="F72" s="427" t="s">
        <v>428</v>
      </c>
      <c r="G72" s="426"/>
      <c r="H72" s="427"/>
      <c r="I72" s="426"/>
      <c r="J72" s="425" t="s">
        <v>427</v>
      </c>
      <c r="K72" s="424" t="s">
        <v>428</v>
      </c>
      <c r="L72" s="422">
        <f>SUM(L73:L74)</f>
        <v>1559600000</v>
      </c>
      <c r="M72" s="422"/>
      <c r="N72" s="422"/>
      <c r="O72" s="422"/>
      <c r="P72" s="422">
        <f>SUBTOTAL(9,P73:P86)</f>
        <v>366492683</v>
      </c>
      <c r="Q72" s="422">
        <f>SUBTOTAL(9,Q73:Q86)</f>
        <v>547781329</v>
      </c>
      <c r="R72" s="422">
        <f>SUBTOTAL(9,R73:R86)</f>
        <v>537965451</v>
      </c>
      <c r="S72" s="422">
        <f>SUBTOTAL(9,S73:S86)</f>
        <v>1050819731</v>
      </c>
      <c r="T72" s="422">
        <f>SUBTOTAL(9,T73:T78)</f>
        <v>50000000</v>
      </c>
      <c r="U72" s="422">
        <f>SUBTOTAL(9,U73:U78)</f>
        <v>10904573</v>
      </c>
      <c r="V72" s="422">
        <f>SUBTOTAL(9,V73:V81)</f>
        <v>510000000</v>
      </c>
      <c r="W72" s="423">
        <f>SUBTOTAL(9,W73:W82)</f>
        <v>510000000</v>
      </c>
      <c r="X72" s="422">
        <f t="shared" ref="X72:AI72" si="12">SUBTOTAL(9,X73:X81)</f>
        <v>630000000</v>
      </c>
      <c r="Y72" s="422">
        <f t="shared" si="12"/>
        <v>830000000</v>
      </c>
      <c r="Z72" s="422">
        <f t="shared" si="12"/>
        <v>830000000</v>
      </c>
      <c r="AA72" s="421">
        <f t="shared" si="12"/>
        <v>530000000</v>
      </c>
      <c r="AB72" s="421">
        <f t="shared" si="12"/>
        <v>730000000</v>
      </c>
      <c r="AC72" s="421">
        <f t="shared" si="12"/>
        <v>730000000</v>
      </c>
      <c r="AD72" s="421">
        <f t="shared" si="12"/>
        <v>100000000</v>
      </c>
      <c r="AE72" s="421">
        <f t="shared" si="12"/>
        <v>100000000</v>
      </c>
      <c r="AF72" s="421">
        <f t="shared" si="12"/>
        <v>100000000</v>
      </c>
      <c r="AG72" s="421">
        <f t="shared" si="12"/>
        <v>0</v>
      </c>
      <c r="AH72" s="421">
        <f t="shared" si="12"/>
        <v>0</v>
      </c>
      <c r="AI72" s="421">
        <f t="shared" si="12"/>
        <v>0</v>
      </c>
    </row>
    <row r="73" spans="1:35" ht="18" customHeight="1" x14ac:dyDescent="0.25">
      <c r="A73" s="430" t="s">
        <v>179</v>
      </c>
      <c r="B73" s="431">
        <v>11</v>
      </c>
      <c r="C73" s="413">
        <v>1011001</v>
      </c>
      <c r="D73" s="412" t="s">
        <v>181</v>
      </c>
      <c r="E73" s="411" t="s">
        <v>182</v>
      </c>
      <c r="F73" s="411" t="s">
        <v>428</v>
      </c>
      <c r="G73" s="431">
        <v>2310000</v>
      </c>
      <c r="H73" s="430">
        <v>3535</v>
      </c>
      <c r="I73" s="418" t="s">
        <v>429</v>
      </c>
      <c r="J73" s="419" t="s">
        <v>430</v>
      </c>
      <c r="K73" s="418" t="s">
        <v>429</v>
      </c>
      <c r="L73" s="406">
        <f t="shared" ref="L73:L78" si="13">P73+R73+U73+V73+X73+Z73</f>
        <v>1534600000</v>
      </c>
      <c r="M73" s="429">
        <v>1340000000</v>
      </c>
      <c r="N73" s="459" t="s">
        <v>192</v>
      </c>
      <c r="O73" s="459" t="s">
        <v>192</v>
      </c>
      <c r="P73" s="423">
        <v>0</v>
      </c>
      <c r="Q73" s="423">
        <v>0</v>
      </c>
      <c r="R73" s="423">
        <v>0</v>
      </c>
      <c r="S73" s="423"/>
      <c r="T73" s="423">
        <v>0</v>
      </c>
      <c r="U73" s="423"/>
      <c r="V73" s="423">
        <f>280000000-5400000</f>
        <v>274600000</v>
      </c>
      <c r="W73" s="423">
        <v>262390639</v>
      </c>
      <c r="X73" s="406">
        <v>530000000</v>
      </c>
      <c r="Y73" s="406">
        <v>730000000</v>
      </c>
      <c r="Z73" s="406">
        <v>730000000</v>
      </c>
      <c r="AA73" s="405">
        <v>530000000</v>
      </c>
      <c r="AB73" s="405">
        <v>730000000</v>
      </c>
      <c r="AC73" s="405">
        <v>730000000</v>
      </c>
      <c r="AD73" s="405"/>
      <c r="AE73" s="405"/>
      <c r="AF73" s="405"/>
      <c r="AG73" s="405"/>
      <c r="AH73" s="405"/>
      <c r="AI73" s="405"/>
    </row>
    <row r="74" spans="1:35" ht="16.5" x14ac:dyDescent="0.25">
      <c r="A74" s="430" t="s">
        <v>179</v>
      </c>
      <c r="B74" s="431" t="s">
        <v>180</v>
      </c>
      <c r="C74" s="413">
        <v>1011001</v>
      </c>
      <c r="D74" s="412" t="s">
        <v>181</v>
      </c>
      <c r="E74" s="411" t="s">
        <v>182</v>
      </c>
      <c r="F74" s="411" t="s">
        <v>428</v>
      </c>
      <c r="G74" s="431">
        <v>2310000</v>
      </c>
      <c r="H74" s="409">
        <v>3535</v>
      </c>
      <c r="I74" s="410" t="s">
        <v>431</v>
      </c>
      <c r="J74" s="417" t="s">
        <v>432</v>
      </c>
      <c r="K74" s="410" t="s">
        <v>431</v>
      </c>
      <c r="L74" s="406">
        <f t="shared" si="13"/>
        <v>25000000</v>
      </c>
      <c r="M74" s="416">
        <v>165000000</v>
      </c>
      <c r="N74" s="415" t="s">
        <v>433</v>
      </c>
      <c r="O74" s="415" t="s">
        <v>187</v>
      </c>
      <c r="P74" s="406">
        <v>0</v>
      </c>
      <c r="Q74" s="406">
        <v>15000000</v>
      </c>
      <c r="R74" s="406">
        <v>15000000</v>
      </c>
      <c r="S74" s="406">
        <f>+L74-P74-Q74</f>
        <v>10000000</v>
      </c>
      <c r="T74" s="406">
        <v>15000000</v>
      </c>
      <c r="U74" s="406">
        <v>0</v>
      </c>
      <c r="V74" s="406">
        <v>10000000</v>
      </c>
      <c r="W74" s="406">
        <v>0</v>
      </c>
      <c r="X74" s="406">
        <v>0</v>
      </c>
      <c r="Y74" s="406">
        <v>0</v>
      </c>
      <c r="Z74" s="406">
        <v>0</v>
      </c>
      <c r="AA74" s="405">
        <v>0</v>
      </c>
      <c r="AB74" s="405">
        <v>0</v>
      </c>
      <c r="AC74" s="405">
        <v>0</v>
      </c>
      <c r="AD74" s="405">
        <v>0</v>
      </c>
      <c r="AE74" s="405">
        <v>0</v>
      </c>
      <c r="AF74" s="405">
        <v>0</v>
      </c>
      <c r="AG74" s="405">
        <v>0</v>
      </c>
      <c r="AH74" s="405">
        <v>0</v>
      </c>
      <c r="AI74" s="405">
        <v>0</v>
      </c>
    </row>
    <row r="75" spans="1:35" ht="16.5" x14ac:dyDescent="0.25">
      <c r="A75" s="430" t="s">
        <v>179</v>
      </c>
      <c r="B75" s="431" t="s">
        <v>180</v>
      </c>
      <c r="C75" s="413">
        <v>1011001</v>
      </c>
      <c r="D75" s="412" t="s">
        <v>181</v>
      </c>
      <c r="E75" s="411" t="s">
        <v>182</v>
      </c>
      <c r="F75" s="411" t="s">
        <v>428</v>
      </c>
      <c r="G75" s="431">
        <v>2310000</v>
      </c>
      <c r="H75" s="430">
        <v>3535</v>
      </c>
      <c r="I75" s="409" t="s">
        <v>434</v>
      </c>
      <c r="J75" s="417" t="s">
        <v>435</v>
      </c>
      <c r="K75" s="409" t="s">
        <v>434</v>
      </c>
      <c r="L75" s="406">
        <f t="shared" si="13"/>
        <v>50000000</v>
      </c>
      <c r="M75" s="416">
        <v>150000000</v>
      </c>
      <c r="N75" s="415" t="s">
        <v>205</v>
      </c>
      <c r="O75" s="415" t="s">
        <v>187</v>
      </c>
      <c r="P75" s="406">
        <v>0</v>
      </c>
      <c r="Q75" s="406">
        <v>0</v>
      </c>
      <c r="R75" s="406">
        <v>0</v>
      </c>
      <c r="S75" s="406"/>
      <c r="T75" s="406">
        <v>0</v>
      </c>
      <c r="U75" s="406"/>
      <c r="V75" s="406">
        <v>50000000</v>
      </c>
      <c r="W75" s="406">
        <v>0</v>
      </c>
      <c r="X75" s="406"/>
      <c r="Y75" s="406"/>
      <c r="Z75" s="406"/>
      <c r="AA75" s="405"/>
      <c r="AB75" s="405"/>
      <c r="AC75" s="405"/>
      <c r="AD75" s="405"/>
      <c r="AE75" s="405"/>
      <c r="AF75" s="405"/>
      <c r="AG75" s="405"/>
      <c r="AH75" s="405"/>
      <c r="AI75" s="405"/>
    </row>
    <row r="76" spans="1:35" ht="13.9" customHeight="1" x14ac:dyDescent="0.25">
      <c r="A76" s="430" t="s">
        <v>179</v>
      </c>
      <c r="B76" s="431" t="s">
        <v>180</v>
      </c>
      <c r="C76" s="413" t="s">
        <v>436</v>
      </c>
      <c r="D76" s="458" t="s">
        <v>437</v>
      </c>
      <c r="E76" s="411" t="s">
        <v>182</v>
      </c>
      <c r="F76" s="411" t="s">
        <v>428</v>
      </c>
      <c r="G76" s="431">
        <v>2310000</v>
      </c>
      <c r="H76" s="409">
        <v>3535</v>
      </c>
      <c r="I76" s="410" t="s">
        <v>438</v>
      </c>
      <c r="J76" s="417" t="s">
        <v>439</v>
      </c>
      <c r="K76" s="410" t="s">
        <v>438</v>
      </c>
      <c r="L76" s="406">
        <f t="shared" si="13"/>
        <v>25422842</v>
      </c>
      <c r="M76" s="416">
        <v>20000000</v>
      </c>
      <c r="N76" s="415" t="s">
        <v>360</v>
      </c>
      <c r="O76" s="415" t="s">
        <v>187</v>
      </c>
      <c r="P76" s="406">
        <v>0</v>
      </c>
      <c r="Q76" s="406">
        <v>20000000</v>
      </c>
      <c r="R76" s="406">
        <v>20000000</v>
      </c>
      <c r="S76" s="406"/>
      <c r="T76" s="406">
        <v>15000000</v>
      </c>
      <c r="U76" s="406">
        <v>22842</v>
      </c>
      <c r="V76" s="406">
        <v>5400000</v>
      </c>
      <c r="W76" s="406">
        <v>5400000</v>
      </c>
      <c r="X76" s="406">
        <v>0</v>
      </c>
      <c r="Y76" s="406">
        <v>0</v>
      </c>
      <c r="Z76" s="406">
        <v>0</v>
      </c>
      <c r="AA76" s="405">
        <v>0</v>
      </c>
      <c r="AB76" s="405">
        <v>0</v>
      </c>
      <c r="AC76" s="405">
        <v>0</v>
      </c>
      <c r="AD76" s="405">
        <v>0</v>
      </c>
      <c r="AE76" s="405">
        <v>0</v>
      </c>
      <c r="AF76" s="405">
        <v>0</v>
      </c>
      <c r="AG76" s="405">
        <v>0</v>
      </c>
      <c r="AH76" s="405">
        <v>0</v>
      </c>
      <c r="AI76" s="405">
        <v>0</v>
      </c>
    </row>
    <row r="77" spans="1:35" ht="12.6" customHeight="1" x14ac:dyDescent="0.25">
      <c r="A77" s="430" t="s">
        <v>179</v>
      </c>
      <c r="B77" s="431" t="s">
        <v>180</v>
      </c>
      <c r="C77" s="413" t="s">
        <v>436</v>
      </c>
      <c r="D77" s="458" t="s">
        <v>437</v>
      </c>
      <c r="E77" s="411" t="s">
        <v>182</v>
      </c>
      <c r="F77" s="411" t="s">
        <v>428</v>
      </c>
      <c r="G77" s="431">
        <v>2310000</v>
      </c>
      <c r="H77" s="430">
        <v>3535</v>
      </c>
      <c r="I77" s="410" t="s">
        <v>440</v>
      </c>
      <c r="J77" s="417" t="s">
        <v>441</v>
      </c>
      <c r="K77" s="410" t="s">
        <v>440</v>
      </c>
      <c r="L77" s="406">
        <f t="shared" si="13"/>
        <v>50881731</v>
      </c>
      <c r="M77" s="416">
        <v>80000000</v>
      </c>
      <c r="N77" s="415" t="s">
        <v>360</v>
      </c>
      <c r="O77" s="415" t="s">
        <v>187</v>
      </c>
      <c r="P77" s="406">
        <v>0</v>
      </c>
      <c r="Q77" s="406">
        <v>20000000</v>
      </c>
      <c r="R77" s="406">
        <v>20000000</v>
      </c>
      <c r="S77" s="406">
        <f>+L77-P77-Q77</f>
        <v>30881731</v>
      </c>
      <c r="T77" s="406">
        <v>20000000</v>
      </c>
      <c r="U77" s="406">
        <v>10881731</v>
      </c>
      <c r="V77" s="406">
        <v>20000000</v>
      </c>
      <c r="W77" s="406">
        <v>20000000</v>
      </c>
      <c r="X77" s="406">
        <v>0</v>
      </c>
      <c r="Y77" s="406">
        <v>0</v>
      </c>
      <c r="Z77" s="406">
        <v>0</v>
      </c>
      <c r="AA77" s="405">
        <v>0</v>
      </c>
      <c r="AB77" s="405">
        <v>0</v>
      </c>
      <c r="AC77" s="405">
        <v>0</v>
      </c>
      <c r="AD77" s="405">
        <v>0</v>
      </c>
      <c r="AE77" s="405">
        <v>0</v>
      </c>
      <c r="AF77" s="405">
        <v>0</v>
      </c>
      <c r="AG77" s="405">
        <v>0</v>
      </c>
      <c r="AH77" s="405">
        <v>0</v>
      </c>
      <c r="AI77" s="405">
        <v>0</v>
      </c>
    </row>
    <row r="78" spans="1:35" ht="15.75" customHeight="1" x14ac:dyDescent="0.25">
      <c r="A78" s="430" t="s">
        <v>179</v>
      </c>
      <c r="B78" s="431">
        <v>11</v>
      </c>
      <c r="C78" s="413">
        <v>1011150</v>
      </c>
      <c r="D78" s="457" t="s">
        <v>442</v>
      </c>
      <c r="E78" s="431" t="s">
        <v>182</v>
      </c>
      <c r="F78" s="411" t="s">
        <v>428</v>
      </c>
      <c r="G78" s="431">
        <v>2310000</v>
      </c>
      <c r="H78" s="456" t="s">
        <v>256</v>
      </c>
      <c r="I78" s="431" t="s">
        <v>188</v>
      </c>
      <c r="J78" s="455" t="s">
        <v>443</v>
      </c>
      <c r="K78" s="431" t="s">
        <v>188</v>
      </c>
      <c r="L78" s="406">
        <f t="shared" si="13"/>
        <v>305000000</v>
      </c>
      <c r="M78" s="416">
        <v>255000000</v>
      </c>
      <c r="N78" s="415" t="s">
        <v>444</v>
      </c>
      <c r="O78" s="415" t="s">
        <v>186</v>
      </c>
      <c r="P78" s="406">
        <v>164218671</v>
      </c>
      <c r="Q78" s="406">
        <v>90781329</v>
      </c>
      <c r="R78" s="406">
        <v>90781329</v>
      </c>
      <c r="S78" s="406">
        <f>+L78-P78-Q78</f>
        <v>50000000</v>
      </c>
      <c r="T78" s="406">
        <v>0</v>
      </c>
      <c r="U78" s="406"/>
      <c r="V78" s="406">
        <v>50000000</v>
      </c>
      <c r="W78" s="406">
        <v>50000000</v>
      </c>
      <c r="X78" s="406">
        <v>0</v>
      </c>
      <c r="Y78" s="406">
        <v>0</v>
      </c>
      <c r="Z78" s="406">
        <v>0</v>
      </c>
      <c r="AA78" s="405">
        <v>0</v>
      </c>
      <c r="AB78" s="405">
        <v>0</v>
      </c>
      <c r="AC78" s="405">
        <v>0</v>
      </c>
      <c r="AD78" s="405">
        <v>0</v>
      </c>
      <c r="AE78" s="405">
        <v>0</v>
      </c>
      <c r="AF78" s="405">
        <v>0</v>
      </c>
      <c r="AG78" s="405">
        <v>0</v>
      </c>
      <c r="AH78" s="405">
        <v>0</v>
      </c>
      <c r="AI78" s="405">
        <v>0</v>
      </c>
    </row>
    <row r="79" spans="1:35" x14ac:dyDescent="0.25">
      <c r="A79" s="454" t="s">
        <v>179</v>
      </c>
      <c r="B79" s="452" t="s">
        <v>180</v>
      </c>
      <c r="C79" s="452" t="s">
        <v>420</v>
      </c>
      <c r="D79" s="412" t="s">
        <v>181</v>
      </c>
      <c r="E79" s="452" t="s">
        <v>445</v>
      </c>
      <c r="F79" s="452" t="s">
        <v>428</v>
      </c>
      <c r="G79" s="431">
        <v>2310000</v>
      </c>
      <c r="H79" s="452" t="s">
        <v>446</v>
      </c>
      <c r="I79" s="452" t="s">
        <v>447</v>
      </c>
      <c r="J79" s="453" t="s">
        <v>448</v>
      </c>
      <c r="K79" s="452" t="s">
        <v>447</v>
      </c>
      <c r="L79" s="451">
        <v>10250000</v>
      </c>
      <c r="M79" s="423"/>
      <c r="N79" s="423"/>
      <c r="O79" s="423"/>
      <c r="P79" s="423"/>
      <c r="Q79" s="423"/>
      <c r="R79" s="423"/>
      <c r="S79" s="423"/>
      <c r="T79" s="423"/>
      <c r="U79" s="423"/>
      <c r="V79" s="406">
        <v>10250000</v>
      </c>
      <c r="W79" s="406">
        <v>10250000</v>
      </c>
      <c r="X79" s="423"/>
      <c r="Y79" s="423"/>
      <c r="Z79" s="423"/>
      <c r="AA79" s="421"/>
      <c r="AB79" s="421"/>
      <c r="AC79" s="421"/>
      <c r="AD79" s="421"/>
      <c r="AE79" s="421"/>
      <c r="AF79" s="421"/>
      <c r="AG79" s="421"/>
      <c r="AH79" s="421"/>
      <c r="AI79" s="421"/>
    </row>
    <row r="80" spans="1:35" x14ac:dyDescent="0.25">
      <c r="A80" s="454" t="s">
        <v>179</v>
      </c>
      <c r="B80" s="452" t="s">
        <v>180</v>
      </c>
      <c r="C80" s="452" t="s">
        <v>420</v>
      </c>
      <c r="D80" s="412" t="s">
        <v>181</v>
      </c>
      <c r="E80" s="452" t="s">
        <v>445</v>
      </c>
      <c r="F80" s="452" t="s">
        <v>428</v>
      </c>
      <c r="G80" s="431">
        <v>2310000</v>
      </c>
      <c r="H80" s="452" t="s">
        <v>446</v>
      </c>
      <c r="I80" s="452" t="s">
        <v>449</v>
      </c>
      <c r="J80" s="453" t="s">
        <v>450</v>
      </c>
      <c r="K80" s="452" t="s">
        <v>449</v>
      </c>
      <c r="L80" s="451">
        <v>800000</v>
      </c>
      <c r="M80" s="423"/>
      <c r="N80" s="423"/>
      <c r="O80" s="423"/>
      <c r="P80" s="423"/>
      <c r="Q80" s="423"/>
      <c r="R80" s="423"/>
      <c r="S80" s="423"/>
      <c r="T80" s="423"/>
      <c r="U80" s="423"/>
      <c r="V80" s="406">
        <v>800000</v>
      </c>
      <c r="W80" s="406">
        <v>800000</v>
      </c>
      <c r="X80" s="423"/>
      <c r="Y80" s="423"/>
      <c r="Z80" s="423"/>
      <c r="AA80" s="421"/>
      <c r="AB80" s="421"/>
      <c r="AC80" s="421"/>
      <c r="AD80" s="421"/>
      <c r="AE80" s="421"/>
      <c r="AF80" s="421"/>
      <c r="AG80" s="421"/>
      <c r="AH80" s="421"/>
      <c r="AI80" s="421"/>
    </row>
    <row r="81" spans="1:35" ht="22.9" customHeight="1" x14ac:dyDescent="0.25">
      <c r="A81" s="430" t="s">
        <v>179</v>
      </c>
      <c r="B81" s="431" t="s">
        <v>180</v>
      </c>
      <c r="C81" s="413">
        <v>1011001</v>
      </c>
      <c r="D81" s="412" t="s">
        <v>181</v>
      </c>
      <c r="E81" s="450" t="s">
        <v>445</v>
      </c>
      <c r="F81" s="411" t="s">
        <v>428</v>
      </c>
      <c r="G81" s="431">
        <v>2310000</v>
      </c>
      <c r="H81" s="430">
        <v>3535</v>
      </c>
      <c r="I81" s="449" t="s">
        <v>451</v>
      </c>
      <c r="J81" s="417" t="s">
        <v>452</v>
      </c>
      <c r="K81" s="449" t="s">
        <v>451</v>
      </c>
      <c r="L81" s="406">
        <f>P81+R81+U81+V81+X81+Z81</f>
        <v>288950000</v>
      </c>
      <c r="M81" s="416">
        <v>300000000</v>
      </c>
      <c r="N81" s="415" t="s">
        <v>360</v>
      </c>
      <c r="O81" s="415" t="s">
        <v>187</v>
      </c>
      <c r="P81" s="406">
        <v>0</v>
      </c>
      <c r="Q81" s="406"/>
      <c r="R81" s="406"/>
      <c r="S81" s="406"/>
      <c r="T81" s="406">
        <v>30000000</v>
      </c>
      <c r="U81" s="406"/>
      <c r="V81" s="406">
        <f>100000000-11050000</f>
        <v>88950000</v>
      </c>
      <c r="W81" s="406">
        <f>100000000-11050000</f>
        <v>88950000</v>
      </c>
      <c r="X81" s="406">
        <v>100000000</v>
      </c>
      <c r="Y81" s="406">
        <v>100000000</v>
      </c>
      <c r="Z81" s="406">
        <v>100000000</v>
      </c>
      <c r="AA81" s="405"/>
      <c r="AB81" s="405"/>
      <c r="AC81" s="405"/>
      <c r="AD81" s="405">
        <v>100000000</v>
      </c>
      <c r="AE81" s="405">
        <v>100000000</v>
      </c>
      <c r="AF81" s="405">
        <v>100000000</v>
      </c>
      <c r="AG81" s="405"/>
      <c r="AH81" s="405"/>
      <c r="AI81" s="405"/>
    </row>
    <row r="82" spans="1:35" ht="19.899999999999999" customHeight="1" x14ac:dyDescent="0.25">
      <c r="A82" s="430" t="s">
        <v>179</v>
      </c>
      <c r="B82" s="431" t="s">
        <v>180</v>
      </c>
      <c r="C82" s="448">
        <v>1011041</v>
      </c>
      <c r="D82" s="447" t="s">
        <v>453</v>
      </c>
      <c r="E82" s="446">
        <v>11</v>
      </c>
      <c r="F82" s="445" t="s">
        <v>428</v>
      </c>
      <c r="G82" s="431">
        <v>2310000</v>
      </c>
      <c r="H82" s="401">
        <v>3535</v>
      </c>
      <c r="I82" s="443" t="s">
        <v>454</v>
      </c>
      <c r="J82" s="444" t="s">
        <v>455</v>
      </c>
      <c r="K82" s="443" t="s">
        <v>454</v>
      </c>
      <c r="L82" s="406">
        <v>75000000</v>
      </c>
      <c r="M82" s="442">
        <v>2790639</v>
      </c>
      <c r="N82" s="415"/>
      <c r="O82" s="415"/>
      <c r="P82" s="406"/>
      <c r="Q82" s="406"/>
      <c r="R82" s="406"/>
      <c r="S82" s="406"/>
      <c r="T82" s="406"/>
      <c r="U82" s="406">
        <v>2790639</v>
      </c>
      <c r="V82" s="406">
        <v>0</v>
      </c>
      <c r="W82" s="416">
        <v>72209361</v>
      </c>
      <c r="X82" s="406"/>
      <c r="Y82" s="406"/>
      <c r="Z82" s="406"/>
      <c r="AA82" s="405"/>
      <c r="AB82" s="405"/>
      <c r="AC82" s="405"/>
      <c r="AD82" s="405"/>
      <c r="AE82" s="405"/>
      <c r="AF82" s="405"/>
      <c r="AG82" s="405"/>
      <c r="AH82" s="405"/>
      <c r="AI82" s="405"/>
    </row>
    <row r="83" spans="1:35" ht="15.6" customHeight="1" x14ac:dyDescent="0.25">
      <c r="A83" s="441" t="s">
        <v>177</v>
      </c>
      <c r="B83" s="438">
        <v>11</v>
      </c>
      <c r="C83" s="438"/>
      <c r="D83" s="440" t="s">
        <v>456</v>
      </c>
      <c r="E83" s="436"/>
      <c r="F83" s="436" t="s">
        <v>457</v>
      </c>
      <c r="G83" s="438"/>
      <c r="H83" s="439"/>
      <c r="I83" s="438"/>
      <c r="J83" s="437"/>
      <c r="K83" s="436" t="s">
        <v>457</v>
      </c>
      <c r="L83" s="422">
        <f t="shared" ref="L83:AI83" si="14">SUM(L84:L85)</f>
        <v>1132122000</v>
      </c>
      <c r="M83" s="422">
        <f t="shared" si="14"/>
        <v>113000000</v>
      </c>
      <c r="N83" s="422">
        <f t="shared" si="14"/>
        <v>0</v>
      </c>
      <c r="O83" s="435">
        <f t="shared" si="14"/>
        <v>0</v>
      </c>
      <c r="P83" s="435">
        <f t="shared" si="14"/>
        <v>0</v>
      </c>
      <c r="Q83" s="435">
        <f t="shared" si="14"/>
        <v>0</v>
      </c>
      <c r="R83" s="435">
        <f t="shared" si="14"/>
        <v>0</v>
      </c>
      <c r="S83" s="435">
        <f t="shared" si="14"/>
        <v>0</v>
      </c>
      <c r="T83" s="422">
        <f t="shared" si="14"/>
        <v>50000000</v>
      </c>
      <c r="U83" s="422">
        <f t="shared" si="14"/>
        <v>0</v>
      </c>
      <c r="V83" s="422">
        <f t="shared" si="14"/>
        <v>162122000</v>
      </c>
      <c r="W83" s="423">
        <f t="shared" si="14"/>
        <v>162122000</v>
      </c>
      <c r="X83" s="422">
        <f t="shared" si="14"/>
        <v>470000000</v>
      </c>
      <c r="Y83" s="422">
        <f t="shared" si="14"/>
        <v>500000000</v>
      </c>
      <c r="Z83" s="422">
        <f t="shared" si="14"/>
        <v>500000000</v>
      </c>
      <c r="AA83" s="421">
        <f t="shared" si="14"/>
        <v>370000000</v>
      </c>
      <c r="AB83" s="421">
        <f t="shared" si="14"/>
        <v>400000000</v>
      </c>
      <c r="AC83" s="421">
        <f t="shared" si="14"/>
        <v>400000000</v>
      </c>
      <c r="AD83" s="421">
        <f t="shared" si="14"/>
        <v>100000000</v>
      </c>
      <c r="AE83" s="421">
        <f t="shared" si="14"/>
        <v>100000000</v>
      </c>
      <c r="AF83" s="421">
        <f t="shared" si="14"/>
        <v>100000000</v>
      </c>
      <c r="AG83" s="421">
        <f t="shared" si="14"/>
        <v>0</v>
      </c>
      <c r="AH83" s="421">
        <f t="shared" si="14"/>
        <v>0</v>
      </c>
      <c r="AI83" s="421">
        <f t="shared" si="14"/>
        <v>0</v>
      </c>
    </row>
    <row r="84" spans="1:35" ht="21.6" customHeight="1" x14ac:dyDescent="0.25">
      <c r="A84" s="430" t="s">
        <v>179</v>
      </c>
      <c r="B84" s="431" t="s">
        <v>180</v>
      </c>
      <c r="C84" s="434" t="s">
        <v>458</v>
      </c>
      <c r="D84" s="432" t="s">
        <v>459</v>
      </c>
      <c r="E84" s="411" t="s">
        <v>182</v>
      </c>
      <c r="F84" s="411" t="s">
        <v>457</v>
      </c>
      <c r="G84" s="431">
        <v>2310000</v>
      </c>
      <c r="H84" s="430">
        <v>3535</v>
      </c>
      <c r="I84" s="409" t="s">
        <v>460</v>
      </c>
      <c r="J84" s="417" t="s">
        <v>461</v>
      </c>
      <c r="K84" s="409" t="s">
        <v>460</v>
      </c>
      <c r="L84" s="406">
        <f>P84+R84+U84+V84+X84+Z84</f>
        <v>832122000</v>
      </c>
      <c r="M84" s="416">
        <v>50000000</v>
      </c>
      <c r="N84" s="415" t="s">
        <v>192</v>
      </c>
      <c r="O84" s="415" t="s">
        <v>187</v>
      </c>
      <c r="P84" s="406"/>
      <c r="Q84" s="406"/>
      <c r="R84" s="406"/>
      <c r="S84" s="406"/>
      <c r="T84" s="406">
        <v>50000000</v>
      </c>
      <c r="U84" s="406"/>
      <c r="V84" s="406">
        <v>62122000</v>
      </c>
      <c r="W84" s="406">
        <v>62122000</v>
      </c>
      <c r="X84" s="406">
        <v>370000000</v>
      </c>
      <c r="Y84" s="406">
        <v>400000000</v>
      </c>
      <c r="Z84" s="406">
        <v>400000000</v>
      </c>
      <c r="AA84" s="405">
        <v>370000000</v>
      </c>
      <c r="AB84" s="405">
        <v>400000000</v>
      </c>
      <c r="AC84" s="405">
        <v>400000000</v>
      </c>
      <c r="AD84" s="405"/>
      <c r="AE84" s="405"/>
      <c r="AF84" s="405"/>
      <c r="AG84" s="405"/>
      <c r="AH84" s="405"/>
      <c r="AI84" s="405"/>
    </row>
    <row r="85" spans="1:35" ht="18" customHeight="1" x14ac:dyDescent="0.25">
      <c r="A85" s="430" t="s">
        <v>179</v>
      </c>
      <c r="B85" s="431" t="s">
        <v>180</v>
      </c>
      <c r="C85" s="433" t="s">
        <v>458</v>
      </c>
      <c r="D85" s="432" t="s">
        <v>459</v>
      </c>
      <c r="E85" s="411" t="s">
        <v>445</v>
      </c>
      <c r="F85" s="411" t="s">
        <v>457</v>
      </c>
      <c r="G85" s="431">
        <v>2310000</v>
      </c>
      <c r="H85" s="430">
        <v>3535</v>
      </c>
      <c r="I85" s="409" t="s">
        <v>462</v>
      </c>
      <c r="J85" s="417" t="s">
        <v>463</v>
      </c>
      <c r="K85" s="409" t="s">
        <v>462</v>
      </c>
      <c r="L85" s="406">
        <f>P85+R85+U85+V85+X85+Z85</f>
        <v>300000000</v>
      </c>
      <c r="M85" s="429">
        <v>63000000</v>
      </c>
      <c r="N85" s="415" t="s">
        <v>205</v>
      </c>
      <c r="O85" s="415" t="s">
        <v>187</v>
      </c>
      <c r="P85" s="406"/>
      <c r="Q85" s="406"/>
      <c r="R85" s="406"/>
      <c r="S85" s="406"/>
      <c r="T85" s="406">
        <v>0</v>
      </c>
      <c r="U85" s="406"/>
      <c r="V85" s="406">
        <v>100000000</v>
      </c>
      <c r="W85" s="406">
        <v>100000000</v>
      </c>
      <c r="X85" s="406">
        <v>100000000</v>
      </c>
      <c r="Y85" s="406">
        <v>100000000</v>
      </c>
      <c r="Z85" s="406">
        <v>100000000</v>
      </c>
      <c r="AA85" s="405"/>
      <c r="AB85" s="405"/>
      <c r="AC85" s="405"/>
      <c r="AD85" s="405">
        <v>100000000</v>
      </c>
      <c r="AE85" s="405">
        <v>100000000</v>
      </c>
      <c r="AF85" s="405">
        <v>100000000</v>
      </c>
      <c r="AG85" s="405"/>
      <c r="AH85" s="405"/>
      <c r="AI85" s="405"/>
    </row>
    <row r="86" spans="1:35" ht="13.15" customHeight="1" x14ac:dyDescent="0.25">
      <c r="A86" s="426" t="s">
        <v>177</v>
      </c>
      <c r="B86" s="428" t="s">
        <v>180</v>
      </c>
      <c r="C86" s="428"/>
      <c r="D86" s="426" t="s">
        <v>464</v>
      </c>
      <c r="E86" s="427"/>
      <c r="F86" s="427" t="s">
        <v>143</v>
      </c>
      <c r="G86" s="426"/>
      <c r="H86" s="427"/>
      <c r="I86" s="426"/>
      <c r="J86" s="425"/>
      <c r="K86" s="424" t="s">
        <v>143</v>
      </c>
      <c r="L86" s="422">
        <f>SUM(L87:L92)</f>
        <v>1804274134</v>
      </c>
      <c r="M86" s="422">
        <f>SUM(M87:M92)</f>
        <v>1754396134</v>
      </c>
      <c r="N86" s="422"/>
      <c r="O86" s="422"/>
      <c r="P86" s="422">
        <f t="shared" ref="P86:AI86" si="15">SUM(P87:P92)</f>
        <v>202274012</v>
      </c>
      <c r="Q86" s="422">
        <f t="shared" si="15"/>
        <v>402000000</v>
      </c>
      <c r="R86" s="422">
        <f t="shared" si="15"/>
        <v>392184122</v>
      </c>
      <c r="S86" s="422">
        <f t="shared" si="15"/>
        <v>959938000</v>
      </c>
      <c r="T86" s="422">
        <f t="shared" si="15"/>
        <v>122000</v>
      </c>
      <c r="U86" s="422">
        <f t="shared" si="15"/>
        <v>0</v>
      </c>
      <c r="V86" s="422">
        <f t="shared" si="15"/>
        <v>309816000</v>
      </c>
      <c r="W86" s="423">
        <f t="shared" si="15"/>
        <v>309816000</v>
      </c>
      <c r="X86" s="422">
        <f t="shared" si="15"/>
        <v>450000000</v>
      </c>
      <c r="Y86" s="422">
        <f t="shared" si="15"/>
        <v>450000000</v>
      </c>
      <c r="Z86" s="422">
        <f t="shared" si="15"/>
        <v>450000000</v>
      </c>
      <c r="AA86" s="421">
        <f t="shared" si="15"/>
        <v>350000000</v>
      </c>
      <c r="AB86" s="421">
        <f t="shared" si="15"/>
        <v>350000000</v>
      </c>
      <c r="AC86" s="421">
        <f t="shared" si="15"/>
        <v>350000000</v>
      </c>
      <c r="AD86" s="421">
        <f t="shared" si="15"/>
        <v>100000000</v>
      </c>
      <c r="AE86" s="421">
        <f t="shared" si="15"/>
        <v>100000000</v>
      </c>
      <c r="AF86" s="421">
        <f t="shared" si="15"/>
        <v>100000000</v>
      </c>
      <c r="AG86" s="421">
        <f t="shared" si="15"/>
        <v>0</v>
      </c>
      <c r="AH86" s="421">
        <f t="shared" si="15"/>
        <v>0</v>
      </c>
      <c r="AI86" s="421">
        <f t="shared" si="15"/>
        <v>0</v>
      </c>
    </row>
    <row r="87" spans="1:35" ht="33" x14ac:dyDescent="0.25">
      <c r="A87" s="409" t="s">
        <v>179</v>
      </c>
      <c r="B87" s="410" t="s">
        <v>180</v>
      </c>
      <c r="C87" s="413">
        <v>1011001</v>
      </c>
      <c r="D87" s="412" t="s">
        <v>181</v>
      </c>
      <c r="E87" s="420" t="s">
        <v>182</v>
      </c>
      <c r="F87" s="410" t="s">
        <v>143</v>
      </c>
      <c r="G87" s="410">
        <v>2310000</v>
      </c>
      <c r="H87" s="409">
        <v>3535</v>
      </c>
      <c r="I87" s="418" t="s">
        <v>465</v>
      </c>
      <c r="J87" s="419" t="s">
        <v>466</v>
      </c>
      <c r="K87" s="418" t="s">
        <v>465</v>
      </c>
      <c r="L87" s="406">
        <f t="shared" ref="L87:L92" si="16">P87+R87+U87+V87+X87+Z87</f>
        <v>949999821</v>
      </c>
      <c r="M87" s="416">
        <f>L87</f>
        <v>949999821</v>
      </c>
      <c r="N87" s="415"/>
      <c r="O87" s="415"/>
      <c r="P87" s="406"/>
      <c r="Q87" s="406">
        <v>0</v>
      </c>
      <c r="R87" s="406"/>
      <c r="S87" s="406">
        <f>+L87-P87-Q87</f>
        <v>949999821</v>
      </c>
      <c r="T87" s="406">
        <v>0</v>
      </c>
      <c r="U87" s="406"/>
      <c r="V87" s="414">
        <v>249999821</v>
      </c>
      <c r="W87" s="406">
        <v>249999821</v>
      </c>
      <c r="X87" s="406">
        <v>350000000</v>
      </c>
      <c r="Y87" s="406">
        <v>350000000</v>
      </c>
      <c r="Z87" s="406">
        <v>350000000</v>
      </c>
      <c r="AA87" s="405">
        <v>350000000</v>
      </c>
      <c r="AB87" s="405">
        <v>350000000</v>
      </c>
      <c r="AC87" s="405">
        <v>350000000</v>
      </c>
      <c r="AD87" s="405"/>
      <c r="AE87" s="405"/>
      <c r="AF87" s="405"/>
      <c r="AG87" s="405"/>
      <c r="AH87" s="405"/>
      <c r="AI87" s="405"/>
    </row>
    <row r="88" spans="1:35" ht="16.5" x14ac:dyDescent="0.25">
      <c r="A88" s="409" t="s">
        <v>179</v>
      </c>
      <c r="B88" s="410" t="s">
        <v>180</v>
      </c>
      <c r="C88" s="413">
        <v>1011001</v>
      </c>
      <c r="D88" s="412" t="s">
        <v>181</v>
      </c>
      <c r="E88" s="410" t="s">
        <v>182</v>
      </c>
      <c r="F88" s="410" t="s">
        <v>143</v>
      </c>
      <c r="G88" s="410">
        <v>2310000</v>
      </c>
      <c r="H88" s="409">
        <v>3535</v>
      </c>
      <c r="I88" s="410" t="s">
        <v>467</v>
      </c>
      <c r="J88" s="417" t="s">
        <v>468</v>
      </c>
      <c r="K88" s="410" t="s">
        <v>467</v>
      </c>
      <c r="L88" s="406">
        <f t="shared" si="16"/>
        <v>597688313</v>
      </c>
      <c r="M88" s="416">
        <v>597688313</v>
      </c>
      <c r="N88" s="415" t="s">
        <v>361</v>
      </c>
      <c r="O88" s="415" t="s">
        <v>192</v>
      </c>
      <c r="P88" s="406">
        <v>200000000</v>
      </c>
      <c r="Q88" s="406">
        <v>397566012</v>
      </c>
      <c r="R88" s="406">
        <v>392184122</v>
      </c>
      <c r="S88" s="406">
        <f>M88-P88-R88</f>
        <v>5504191</v>
      </c>
      <c r="T88" s="406">
        <v>0</v>
      </c>
      <c r="U88" s="406"/>
      <c r="V88" s="414">
        <f>M88-P88-R88</f>
        <v>5504191</v>
      </c>
      <c r="W88" s="406">
        <v>5504191</v>
      </c>
      <c r="X88" s="406"/>
      <c r="Y88" s="406"/>
      <c r="Z88" s="406"/>
      <c r="AA88" s="405"/>
      <c r="AB88" s="405"/>
      <c r="AC88" s="405"/>
      <c r="AD88" s="405"/>
      <c r="AE88" s="405"/>
      <c r="AF88" s="405"/>
      <c r="AG88" s="405"/>
      <c r="AH88" s="405"/>
      <c r="AI88" s="405"/>
    </row>
    <row r="89" spans="1:35" ht="21.75" customHeight="1" x14ac:dyDescent="0.25">
      <c r="A89" s="409" t="s">
        <v>179</v>
      </c>
      <c r="B89" s="410" t="s">
        <v>180</v>
      </c>
      <c r="C89" s="413">
        <v>1011001</v>
      </c>
      <c r="D89" s="412" t="s">
        <v>181</v>
      </c>
      <c r="E89" s="410" t="s">
        <v>182</v>
      </c>
      <c r="F89" s="410" t="s">
        <v>143</v>
      </c>
      <c r="G89" s="410">
        <v>2310000</v>
      </c>
      <c r="H89" s="409" t="s">
        <v>202</v>
      </c>
      <c r="I89" s="410" t="s">
        <v>469</v>
      </c>
      <c r="J89" s="417" t="s">
        <v>470</v>
      </c>
      <c r="K89" s="410" t="s">
        <v>469</v>
      </c>
      <c r="L89" s="406">
        <f t="shared" si="16"/>
        <v>6586000</v>
      </c>
      <c r="M89" s="416">
        <v>6708000</v>
      </c>
      <c r="N89" s="415" t="s">
        <v>361</v>
      </c>
      <c r="O89" s="415" t="s">
        <v>192</v>
      </c>
      <c r="P89" s="406">
        <v>2274012</v>
      </c>
      <c r="Q89" s="406">
        <v>4433988</v>
      </c>
      <c r="R89" s="406">
        <v>0</v>
      </c>
      <c r="S89" s="406">
        <f>M89-P89-R89</f>
        <v>4433988</v>
      </c>
      <c r="T89" s="406">
        <v>122000</v>
      </c>
      <c r="U89" s="406"/>
      <c r="V89" s="414">
        <f>S89-T89</f>
        <v>4311988</v>
      </c>
      <c r="W89" s="406">
        <v>4311988</v>
      </c>
      <c r="X89" s="406"/>
      <c r="Y89" s="406"/>
      <c r="Z89" s="406"/>
      <c r="AA89" s="405"/>
      <c r="AB89" s="405"/>
      <c r="AC89" s="405"/>
      <c r="AD89" s="405"/>
      <c r="AE89" s="405"/>
      <c r="AF89" s="405"/>
      <c r="AG89" s="405"/>
      <c r="AH89" s="405"/>
      <c r="AI89" s="405"/>
    </row>
    <row r="90" spans="1:35" ht="13.5" customHeight="1" x14ac:dyDescent="0.25">
      <c r="A90" s="409" t="s">
        <v>179</v>
      </c>
      <c r="B90" s="410" t="s">
        <v>180</v>
      </c>
      <c r="C90" s="413">
        <v>1011001</v>
      </c>
      <c r="D90" s="412" t="s">
        <v>181</v>
      </c>
      <c r="E90" s="410" t="s">
        <v>182</v>
      </c>
      <c r="F90" s="410" t="s">
        <v>143</v>
      </c>
      <c r="G90" s="410">
        <v>2310000</v>
      </c>
      <c r="H90" s="409" t="s">
        <v>202</v>
      </c>
      <c r="I90" s="409" t="s">
        <v>471</v>
      </c>
      <c r="J90" s="417" t="s">
        <v>472</v>
      </c>
      <c r="K90" s="409" t="s">
        <v>471</v>
      </c>
      <c r="L90" s="406">
        <f t="shared" si="16"/>
        <v>30000000</v>
      </c>
      <c r="M90" s="416"/>
      <c r="N90" s="415"/>
      <c r="O90" s="415"/>
      <c r="P90" s="406"/>
      <c r="Q90" s="406"/>
      <c r="R90" s="406"/>
      <c r="S90" s="406"/>
      <c r="T90" s="406"/>
      <c r="U90" s="406"/>
      <c r="V90" s="414">
        <v>30000000</v>
      </c>
      <c r="W90" s="406">
        <v>30000000</v>
      </c>
      <c r="X90" s="406"/>
      <c r="Y90" s="406"/>
      <c r="Z90" s="406"/>
      <c r="AA90" s="405"/>
      <c r="AB90" s="405"/>
      <c r="AC90" s="405"/>
      <c r="AD90" s="405"/>
      <c r="AE90" s="405"/>
      <c r="AF90" s="405"/>
      <c r="AG90" s="405"/>
      <c r="AH90" s="405"/>
      <c r="AI90" s="405"/>
    </row>
    <row r="91" spans="1:35" ht="13.5" customHeight="1" x14ac:dyDescent="0.25">
      <c r="A91" s="409" t="s">
        <v>179</v>
      </c>
      <c r="B91" s="410" t="s">
        <v>180</v>
      </c>
      <c r="C91" s="413">
        <v>1011001</v>
      </c>
      <c r="D91" s="412" t="s">
        <v>181</v>
      </c>
      <c r="E91" s="410" t="s">
        <v>182</v>
      </c>
      <c r="F91" s="410" t="s">
        <v>143</v>
      </c>
      <c r="G91" s="410">
        <v>2310000</v>
      </c>
      <c r="H91" s="409" t="s">
        <v>202</v>
      </c>
      <c r="I91" s="409" t="s">
        <v>473</v>
      </c>
      <c r="J91" s="417" t="s">
        <v>474</v>
      </c>
      <c r="K91" s="409" t="s">
        <v>473</v>
      </c>
      <c r="L91" s="406">
        <f t="shared" si="16"/>
        <v>20000000</v>
      </c>
      <c r="M91" s="416"/>
      <c r="N91" s="415"/>
      <c r="O91" s="415"/>
      <c r="P91" s="406"/>
      <c r="Q91" s="406"/>
      <c r="R91" s="406"/>
      <c r="S91" s="406"/>
      <c r="T91" s="406"/>
      <c r="U91" s="406"/>
      <c r="V91" s="414">
        <v>20000000</v>
      </c>
      <c r="W91" s="406">
        <v>20000000</v>
      </c>
      <c r="X91" s="406">
        <v>0</v>
      </c>
      <c r="Y91" s="406">
        <v>0</v>
      </c>
      <c r="Z91" s="406">
        <v>0</v>
      </c>
      <c r="AA91" s="405">
        <v>0</v>
      </c>
      <c r="AB91" s="405">
        <v>0</v>
      </c>
      <c r="AC91" s="405">
        <v>0</v>
      </c>
      <c r="AD91" s="405">
        <v>0</v>
      </c>
      <c r="AE91" s="405">
        <v>0</v>
      </c>
      <c r="AF91" s="405">
        <v>0</v>
      </c>
      <c r="AG91" s="405">
        <v>0</v>
      </c>
      <c r="AH91" s="405">
        <v>0</v>
      </c>
      <c r="AI91" s="405">
        <v>0</v>
      </c>
    </row>
    <row r="92" spans="1:35" ht="16.5" x14ac:dyDescent="0.25">
      <c r="A92" s="409" t="s">
        <v>179</v>
      </c>
      <c r="B92" s="410" t="s">
        <v>180</v>
      </c>
      <c r="C92" s="413">
        <v>1011001</v>
      </c>
      <c r="D92" s="412" t="s">
        <v>181</v>
      </c>
      <c r="E92" s="411" t="s">
        <v>445</v>
      </c>
      <c r="F92" s="410" t="s">
        <v>143</v>
      </c>
      <c r="G92" s="410">
        <v>2310000</v>
      </c>
      <c r="H92" s="409" t="s">
        <v>202</v>
      </c>
      <c r="I92" s="407" t="s">
        <v>475</v>
      </c>
      <c r="J92" s="408" t="s">
        <v>476</v>
      </c>
      <c r="K92" s="407" t="s">
        <v>475</v>
      </c>
      <c r="L92" s="406">
        <f t="shared" si="16"/>
        <v>200000000</v>
      </c>
      <c r="M92" s="406">
        <f>L92</f>
        <v>200000000</v>
      </c>
      <c r="N92" s="406">
        <v>2018</v>
      </c>
      <c r="O92" s="406">
        <v>2019</v>
      </c>
      <c r="P92" s="406">
        <v>0</v>
      </c>
      <c r="Q92" s="406">
        <v>0</v>
      </c>
      <c r="R92" s="406">
        <v>0</v>
      </c>
      <c r="S92" s="406">
        <v>0</v>
      </c>
      <c r="T92" s="406">
        <v>0</v>
      </c>
      <c r="U92" s="406"/>
      <c r="V92" s="406">
        <v>0</v>
      </c>
      <c r="W92" s="406">
        <v>0</v>
      </c>
      <c r="X92" s="406">
        <v>100000000</v>
      </c>
      <c r="Y92" s="406">
        <v>100000000</v>
      </c>
      <c r="Z92" s="406">
        <v>100000000</v>
      </c>
      <c r="AA92" s="405"/>
      <c r="AB92" s="405"/>
      <c r="AC92" s="405"/>
      <c r="AD92" s="405">
        <v>100000000</v>
      </c>
      <c r="AE92" s="405">
        <v>100000000</v>
      </c>
      <c r="AF92" s="405">
        <v>100000000</v>
      </c>
      <c r="AG92" s="405"/>
      <c r="AH92" s="405"/>
      <c r="AI92" s="405"/>
    </row>
  </sheetData>
  <autoFilter ref="A3:Z92">
    <filterColumn colId="16" showButton="0"/>
    <filterColumn colId="19" showButton="0"/>
  </autoFilter>
  <mergeCells count="11">
    <mergeCell ref="D5:E5"/>
    <mergeCell ref="D54:E54"/>
    <mergeCell ref="Q3:R3"/>
    <mergeCell ref="T3:U3"/>
    <mergeCell ref="AA1:AC1"/>
    <mergeCell ref="AD1:AF1"/>
    <mergeCell ref="AG1:AI1"/>
    <mergeCell ref="J54:K54"/>
    <mergeCell ref="J5:K5"/>
    <mergeCell ref="J1:J2"/>
    <mergeCell ref="X1:Z1"/>
  </mergeCells>
  <printOptions horizontalCentered="1"/>
  <pageMargins left="0" right="0" top="0.23622047244094491" bottom="0.23622047244094491" header="0" footer="0"/>
  <pageSetup scale="80" orientation="landscape" r:id="rId1"/>
  <headerFooter>
    <oddFooter>&amp;L&amp;"-,Italic"&amp;6&amp;F&amp;R&amp;"-,Italic"&amp;8Faqe &amp;P nga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36"/>
  <sheetViews>
    <sheetView tabSelected="1" zoomScaleNormal="100" workbookViewId="0">
      <selection activeCell="M6" sqref="M6"/>
    </sheetView>
  </sheetViews>
  <sheetFormatPr defaultColWidth="9.140625" defaultRowHeight="11.25" customHeight="1" x14ac:dyDescent="0.25"/>
  <cols>
    <col min="1" max="1" width="14.5703125" style="1872" customWidth="1"/>
    <col min="2" max="3" width="4.42578125" style="1872" customWidth="1"/>
    <col min="4" max="4" width="11" style="1872" customWidth="1"/>
    <col min="5" max="5" width="17.85546875" style="1872" customWidth="1"/>
    <col min="6" max="9" width="15.7109375" style="1872" customWidth="1"/>
    <col min="10" max="10" width="15" style="1872" customWidth="1"/>
    <col min="11" max="253" width="11.42578125" style="359" customWidth="1"/>
    <col min="254" max="16384" width="9.140625" style="359"/>
  </cols>
  <sheetData>
    <row r="1" spans="1:10" ht="15.6" customHeight="1" x14ac:dyDescent="0.25">
      <c r="A1" s="1871"/>
      <c r="B1" s="1871"/>
      <c r="C1" s="1871"/>
      <c r="D1" s="1871"/>
      <c r="E1" s="2197"/>
      <c r="F1" s="2197"/>
      <c r="G1" s="2197"/>
      <c r="H1" s="2197"/>
      <c r="I1" s="1871"/>
      <c r="J1" s="1871"/>
    </row>
    <row r="2" spans="1:10" ht="11.25" customHeight="1" thickBot="1" x14ac:dyDescent="0.3"/>
    <row r="3" spans="1:10" ht="16.149999999999999" customHeight="1" x14ac:dyDescent="0.25">
      <c r="A3" s="2201" t="s">
        <v>1201</v>
      </c>
      <c r="B3" s="2202"/>
      <c r="C3" s="2202"/>
      <c r="D3" s="2202"/>
      <c r="E3" s="2202"/>
      <c r="F3" s="2202"/>
      <c r="G3" s="2202"/>
      <c r="H3" s="2202"/>
      <c r="I3" s="2202"/>
      <c r="J3" s="2203"/>
    </row>
    <row r="4" spans="1:10" ht="11.25" customHeight="1" thickBot="1" x14ac:dyDescent="0.3">
      <c r="A4" s="2204"/>
      <c r="B4" s="2205"/>
      <c r="C4" s="2205"/>
      <c r="D4" s="2205"/>
      <c r="E4" s="2205"/>
      <c r="F4" s="2205"/>
      <c r="G4" s="2205"/>
      <c r="H4" s="2205"/>
      <c r="I4" s="2205"/>
      <c r="J4" s="2206"/>
    </row>
    <row r="5" spans="1:10" ht="18" customHeight="1" thickBot="1" x14ac:dyDescent="0.3">
      <c r="A5" s="1875" t="s">
        <v>88</v>
      </c>
      <c r="B5" s="2207" t="s">
        <v>566</v>
      </c>
      <c r="C5" s="2208"/>
      <c r="D5" s="2208"/>
      <c r="E5" s="2208"/>
      <c r="F5" s="2208"/>
      <c r="G5" s="2208"/>
      <c r="H5" s="2208"/>
      <c r="I5" s="2208"/>
      <c r="J5" s="2209"/>
    </row>
    <row r="6" spans="1:10" ht="26.25" customHeight="1" thickBot="1" x14ac:dyDescent="0.3">
      <c r="A6" s="1875" t="s">
        <v>87</v>
      </c>
      <c r="B6" s="2210">
        <v>11</v>
      </c>
      <c r="C6" s="2211"/>
      <c r="D6" s="2211"/>
      <c r="E6" s="2211"/>
      <c r="F6" s="2211"/>
      <c r="G6" s="2211"/>
      <c r="H6" s="2211"/>
      <c r="I6" s="2211"/>
      <c r="J6" s="2212"/>
    </row>
    <row r="7" spans="1:10" ht="20.45" customHeight="1" thickBot="1" x14ac:dyDescent="0.3">
      <c r="A7" s="1875" t="s">
        <v>565</v>
      </c>
      <c r="B7" s="2210"/>
      <c r="C7" s="2211"/>
      <c r="D7" s="2211"/>
      <c r="E7" s="2211"/>
      <c r="F7" s="2211"/>
      <c r="G7" s="2211"/>
      <c r="H7" s="2211"/>
      <c r="I7" s="2211"/>
      <c r="J7" s="2212"/>
    </row>
    <row r="8" spans="1:10" ht="11.25" customHeight="1" thickBot="1" x14ac:dyDescent="0.3">
      <c r="A8" s="2213"/>
      <c r="B8" s="2198" t="s">
        <v>1200</v>
      </c>
      <c r="C8" s="2198"/>
      <c r="D8" s="2198"/>
      <c r="E8" s="2198"/>
      <c r="F8" s="2198"/>
      <c r="G8" s="2198"/>
      <c r="H8" s="2198"/>
      <c r="I8" s="2198"/>
      <c r="J8" s="2198"/>
    </row>
    <row r="9" spans="1:10" ht="11.25" customHeight="1" thickBot="1" x14ac:dyDescent="0.3">
      <c r="A9" s="2214"/>
      <c r="B9" s="2198"/>
      <c r="C9" s="2198"/>
      <c r="D9" s="2198"/>
      <c r="E9" s="2198"/>
      <c r="F9" s="2198"/>
      <c r="G9" s="2198"/>
      <c r="H9" s="2198"/>
      <c r="I9" s="2198"/>
      <c r="J9" s="2198"/>
    </row>
    <row r="10" spans="1:10" ht="329.25" customHeight="1" thickBot="1" x14ac:dyDescent="0.3">
      <c r="A10" s="2215"/>
      <c r="B10" s="2198"/>
      <c r="C10" s="2198"/>
      <c r="D10" s="2198"/>
      <c r="E10" s="2198"/>
      <c r="F10" s="2198"/>
      <c r="G10" s="2198"/>
      <c r="H10" s="2198"/>
      <c r="I10" s="2198"/>
      <c r="J10" s="2198"/>
    </row>
    <row r="11" spans="1:10" ht="15" customHeight="1" thickBot="1" x14ac:dyDescent="0.3">
      <c r="A11" s="2200" t="s">
        <v>563</v>
      </c>
      <c r="B11" s="2200"/>
      <c r="C11" s="2200"/>
      <c r="D11" s="2200"/>
      <c r="E11" s="2200"/>
      <c r="F11" s="2200"/>
      <c r="G11" s="2200"/>
      <c r="H11" s="2200"/>
      <c r="I11" s="2200"/>
      <c r="J11" s="2200"/>
    </row>
    <row r="12" spans="1:10" ht="42" customHeight="1" thickBot="1" x14ac:dyDescent="0.3">
      <c r="A12" s="1873" t="s">
        <v>561</v>
      </c>
      <c r="B12" s="1875" t="s">
        <v>80</v>
      </c>
      <c r="C12" s="1874"/>
      <c r="D12" s="1874"/>
      <c r="E12" s="1876" t="s">
        <v>560</v>
      </c>
      <c r="F12" s="1877"/>
      <c r="G12" s="1877"/>
      <c r="H12" s="1877"/>
      <c r="I12" s="1877"/>
      <c r="J12" s="1877"/>
    </row>
    <row r="13" spans="1:10" ht="11.25" customHeight="1" thickBot="1" x14ac:dyDescent="0.3">
      <c r="A13" s="2216" t="s">
        <v>144</v>
      </c>
      <c r="B13" s="2198" t="s">
        <v>146</v>
      </c>
      <c r="C13" s="2198"/>
      <c r="D13" s="2198"/>
      <c r="E13" s="2199" t="s">
        <v>559</v>
      </c>
      <c r="F13" s="2199"/>
      <c r="G13" s="2199"/>
      <c r="H13" s="2199"/>
      <c r="I13" s="2199"/>
      <c r="J13" s="2199"/>
    </row>
    <row r="14" spans="1:10" ht="11.25" customHeight="1" thickBot="1" x14ac:dyDescent="0.3">
      <c r="A14" s="2216"/>
      <c r="B14" s="2198"/>
      <c r="C14" s="2198"/>
      <c r="D14" s="2198"/>
      <c r="E14" s="2199"/>
      <c r="F14" s="2199"/>
      <c r="G14" s="2199"/>
      <c r="H14" s="2199"/>
      <c r="I14" s="2199"/>
      <c r="J14" s="2199"/>
    </row>
    <row r="15" spans="1:10" ht="11.25" customHeight="1" thickBot="1" x14ac:dyDescent="0.3">
      <c r="A15" s="2216"/>
      <c r="B15" s="2198"/>
      <c r="C15" s="2198"/>
      <c r="D15" s="2198"/>
      <c r="E15" s="2199"/>
      <c r="F15" s="2199"/>
      <c r="G15" s="2199"/>
      <c r="H15" s="2199"/>
      <c r="I15" s="2199"/>
      <c r="J15" s="2199"/>
    </row>
    <row r="16" spans="1:10" ht="113.25" customHeight="1" thickBot="1" x14ac:dyDescent="0.3">
      <c r="A16" s="2216"/>
      <c r="B16" s="2198"/>
      <c r="C16" s="2198"/>
      <c r="D16" s="2198"/>
      <c r="E16" s="2199"/>
      <c r="F16" s="2199"/>
      <c r="G16" s="2199"/>
      <c r="H16" s="2199"/>
      <c r="I16" s="2199"/>
      <c r="J16" s="2199"/>
    </row>
    <row r="17" spans="1:10" ht="11.25" customHeight="1" thickBot="1" x14ac:dyDescent="0.3">
      <c r="A17" s="2216" t="s">
        <v>143</v>
      </c>
      <c r="B17" s="2198" t="s">
        <v>558</v>
      </c>
      <c r="C17" s="2198"/>
      <c r="D17" s="2198"/>
      <c r="E17" s="2199" t="s">
        <v>557</v>
      </c>
      <c r="F17" s="2199"/>
      <c r="G17" s="2199"/>
      <c r="H17" s="2199"/>
      <c r="I17" s="2199"/>
      <c r="J17" s="2199"/>
    </row>
    <row r="18" spans="1:10" ht="11.25" customHeight="1" thickBot="1" x14ac:dyDescent="0.3">
      <c r="A18" s="2216"/>
      <c r="B18" s="2198"/>
      <c r="C18" s="2198"/>
      <c r="D18" s="2198"/>
      <c r="E18" s="2199"/>
      <c r="F18" s="2199"/>
      <c r="G18" s="2199"/>
      <c r="H18" s="2199"/>
      <c r="I18" s="2199"/>
      <c r="J18" s="2199"/>
    </row>
    <row r="19" spans="1:10" ht="11.25" customHeight="1" thickBot="1" x14ac:dyDescent="0.3">
      <c r="A19" s="2216"/>
      <c r="B19" s="2198"/>
      <c r="C19" s="2198"/>
      <c r="D19" s="2198"/>
      <c r="E19" s="2199"/>
      <c r="F19" s="2199"/>
      <c r="G19" s="2199"/>
      <c r="H19" s="2199"/>
      <c r="I19" s="2199"/>
      <c r="J19" s="2199"/>
    </row>
    <row r="20" spans="1:10" ht="54.6" customHeight="1" thickBot="1" x14ac:dyDescent="0.3">
      <c r="A20" s="2216"/>
      <c r="B20" s="2198"/>
      <c r="C20" s="2198"/>
      <c r="D20" s="2198"/>
      <c r="E20" s="2199"/>
      <c r="F20" s="2199"/>
      <c r="G20" s="2199"/>
      <c r="H20" s="2199"/>
      <c r="I20" s="2199"/>
      <c r="J20" s="2199"/>
    </row>
    <row r="21" spans="1:10" ht="11.25" customHeight="1" thickBot="1" x14ac:dyDescent="0.3">
      <c r="A21" s="2216" t="s">
        <v>223</v>
      </c>
      <c r="B21" s="2198" t="s">
        <v>480</v>
      </c>
      <c r="C21" s="2198"/>
      <c r="D21" s="2198"/>
      <c r="E21" s="2199" t="s">
        <v>556</v>
      </c>
      <c r="F21" s="2199"/>
      <c r="G21" s="2199"/>
      <c r="H21" s="2199"/>
      <c r="I21" s="2199"/>
      <c r="J21" s="2199"/>
    </row>
    <row r="22" spans="1:10" ht="11.25" customHeight="1" thickBot="1" x14ac:dyDescent="0.3">
      <c r="A22" s="2216"/>
      <c r="B22" s="2198"/>
      <c r="C22" s="2198"/>
      <c r="D22" s="2198"/>
      <c r="E22" s="2199"/>
      <c r="F22" s="2199"/>
      <c r="G22" s="2199"/>
      <c r="H22" s="2199"/>
      <c r="I22" s="2199"/>
      <c r="J22" s="2199"/>
    </row>
    <row r="23" spans="1:10" ht="11.25" customHeight="1" thickBot="1" x14ac:dyDescent="0.3">
      <c r="A23" s="2216"/>
      <c r="B23" s="2198"/>
      <c r="C23" s="2198"/>
      <c r="D23" s="2198"/>
      <c r="E23" s="2199"/>
      <c r="F23" s="2199"/>
      <c r="G23" s="2199"/>
      <c r="H23" s="2199"/>
      <c r="I23" s="2199"/>
      <c r="J23" s="2199"/>
    </row>
    <row r="24" spans="1:10" ht="61.5" customHeight="1" thickBot="1" x14ac:dyDescent="0.3">
      <c r="A24" s="2216"/>
      <c r="B24" s="2198"/>
      <c r="C24" s="2198"/>
      <c r="D24" s="2198"/>
      <c r="E24" s="2199"/>
      <c r="F24" s="2199"/>
      <c r="G24" s="2199"/>
      <c r="H24" s="2199"/>
      <c r="I24" s="2199"/>
      <c r="J24" s="2199"/>
    </row>
    <row r="25" spans="1:10" ht="11.25" customHeight="1" thickBot="1" x14ac:dyDescent="0.3">
      <c r="A25" s="2216" t="s">
        <v>367</v>
      </c>
      <c r="B25" s="2198" t="s">
        <v>481</v>
      </c>
      <c r="C25" s="2198"/>
      <c r="D25" s="2198"/>
      <c r="E25" s="2199" t="s">
        <v>555</v>
      </c>
      <c r="F25" s="2199"/>
      <c r="G25" s="2199"/>
      <c r="H25" s="2199"/>
      <c r="I25" s="2199"/>
      <c r="J25" s="2199"/>
    </row>
    <row r="26" spans="1:10" ht="11.25" customHeight="1" thickBot="1" x14ac:dyDescent="0.3">
      <c r="A26" s="2216"/>
      <c r="B26" s="2198"/>
      <c r="C26" s="2198"/>
      <c r="D26" s="2198"/>
      <c r="E26" s="2199"/>
      <c r="F26" s="2199"/>
      <c r="G26" s="2199"/>
      <c r="H26" s="2199"/>
      <c r="I26" s="2199"/>
      <c r="J26" s="2199"/>
    </row>
    <row r="27" spans="1:10" ht="11.25" customHeight="1" thickBot="1" x14ac:dyDescent="0.3">
      <c r="A27" s="2216"/>
      <c r="B27" s="2198"/>
      <c r="C27" s="2198"/>
      <c r="D27" s="2198"/>
      <c r="E27" s="2199"/>
      <c r="F27" s="2199"/>
      <c r="G27" s="2199"/>
      <c r="H27" s="2199"/>
      <c r="I27" s="2199"/>
      <c r="J27" s="2199"/>
    </row>
    <row r="28" spans="1:10" ht="30.75" customHeight="1" thickBot="1" x14ac:dyDescent="0.3">
      <c r="A28" s="2216"/>
      <c r="B28" s="2198"/>
      <c r="C28" s="2198"/>
      <c r="D28" s="2198"/>
      <c r="E28" s="2199"/>
      <c r="F28" s="2199"/>
      <c r="G28" s="2199"/>
      <c r="H28" s="2199"/>
      <c r="I28" s="2199"/>
      <c r="J28" s="2199"/>
    </row>
    <row r="29" spans="1:10" ht="11.25" customHeight="1" thickBot="1" x14ac:dyDescent="0.3">
      <c r="A29" s="2216" t="s">
        <v>428</v>
      </c>
      <c r="B29" s="2198" t="s">
        <v>482</v>
      </c>
      <c r="C29" s="2198"/>
      <c r="D29" s="2198"/>
      <c r="E29" s="2199" t="s">
        <v>554</v>
      </c>
      <c r="F29" s="2199"/>
      <c r="G29" s="2199"/>
      <c r="H29" s="2199"/>
      <c r="I29" s="2199"/>
      <c r="J29" s="2199"/>
    </row>
    <row r="30" spans="1:10" ht="11.25" customHeight="1" thickBot="1" x14ac:dyDescent="0.3">
      <c r="A30" s="2216"/>
      <c r="B30" s="2198"/>
      <c r="C30" s="2198"/>
      <c r="D30" s="2198"/>
      <c r="E30" s="2199"/>
      <c r="F30" s="2199"/>
      <c r="G30" s="2199"/>
      <c r="H30" s="2199"/>
      <c r="I30" s="2199"/>
      <c r="J30" s="2199"/>
    </row>
    <row r="31" spans="1:10" ht="11.25" customHeight="1" thickBot="1" x14ac:dyDescent="0.3">
      <c r="A31" s="2216"/>
      <c r="B31" s="2198"/>
      <c r="C31" s="2198"/>
      <c r="D31" s="2198"/>
      <c r="E31" s="2199"/>
      <c r="F31" s="2199"/>
      <c r="G31" s="2199"/>
      <c r="H31" s="2199"/>
      <c r="I31" s="2199"/>
      <c r="J31" s="2199"/>
    </row>
    <row r="32" spans="1:10" ht="83.25" customHeight="1" thickBot="1" x14ac:dyDescent="0.3">
      <c r="A32" s="2216"/>
      <c r="B32" s="2198"/>
      <c r="C32" s="2198"/>
      <c r="D32" s="2198"/>
      <c r="E32" s="2199"/>
      <c r="F32" s="2199"/>
      <c r="G32" s="2199"/>
      <c r="H32" s="2199"/>
      <c r="I32" s="2199"/>
      <c r="J32" s="2199"/>
    </row>
    <row r="33" spans="1:10" ht="21" customHeight="1" thickBot="1" x14ac:dyDescent="0.3">
      <c r="A33" s="2216" t="s">
        <v>457</v>
      </c>
      <c r="B33" s="2198" t="s">
        <v>553</v>
      </c>
      <c r="C33" s="2198"/>
      <c r="D33" s="2198"/>
      <c r="E33" s="2199" t="s">
        <v>552</v>
      </c>
      <c r="F33" s="2199"/>
      <c r="G33" s="2199"/>
      <c r="H33" s="2199"/>
      <c r="I33" s="2199"/>
      <c r="J33" s="2199"/>
    </row>
    <row r="34" spans="1:10" ht="11.25" customHeight="1" thickBot="1" x14ac:dyDescent="0.3">
      <c r="A34" s="2216"/>
      <c r="B34" s="2198"/>
      <c r="C34" s="2198"/>
      <c r="D34" s="2198"/>
      <c r="E34" s="2199"/>
      <c r="F34" s="2199"/>
      <c r="G34" s="2199"/>
      <c r="H34" s="2199"/>
      <c r="I34" s="2199"/>
      <c r="J34" s="2199"/>
    </row>
    <row r="35" spans="1:10" ht="11.25" customHeight="1" thickBot="1" x14ac:dyDescent="0.3">
      <c r="A35" s="2216"/>
      <c r="B35" s="2198"/>
      <c r="C35" s="2198"/>
      <c r="D35" s="2198"/>
      <c r="E35" s="2199"/>
      <c r="F35" s="2199"/>
      <c r="G35" s="2199"/>
      <c r="H35" s="2199"/>
      <c r="I35" s="2199"/>
      <c r="J35" s="2199"/>
    </row>
    <row r="36" spans="1:10" ht="42" customHeight="1" thickBot="1" x14ac:dyDescent="0.3">
      <c r="A36" s="2216"/>
      <c r="B36" s="2198"/>
      <c r="C36" s="2198"/>
      <c r="D36" s="2198"/>
      <c r="E36" s="2199"/>
      <c r="F36" s="2199"/>
      <c r="G36" s="2199"/>
      <c r="H36" s="2199"/>
      <c r="I36" s="2199"/>
      <c r="J36" s="2199"/>
    </row>
  </sheetData>
  <mergeCells count="26">
    <mergeCell ref="B33:D36"/>
    <mergeCell ref="E33:J36"/>
    <mergeCell ref="A13:A16"/>
    <mergeCell ref="A21:A24"/>
    <mergeCell ref="A25:A28"/>
    <mergeCell ref="A29:A32"/>
    <mergeCell ref="A33:A36"/>
    <mergeCell ref="A17:A20"/>
    <mergeCell ref="B21:D24"/>
    <mergeCell ref="E21:J24"/>
    <mergeCell ref="B25:D28"/>
    <mergeCell ref="E25:J28"/>
    <mergeCell ref="B29:D32"/>
    <mergeCell ref="E29:J32"/>
    <mergeCell ref="E1:H1"/>
    <mergeCell ref="B8:J10"/>
    <mergeCell ref="B13:D16"/>
    <mergeCell ref="E13:J16"/>
    <mergeCell ref="B17:D20"/>
    <mergeCell ref="E17:J20"/>
    <mergeCell ref="A11:J11"/>
    <mergeCell ref="A3:J4"/>
    <mergeCell ref="B5:J5"/>
    <mergeCell ref="B6:J6"/>
    <mergeCell ref="B7:J7"/>
    <mergeCell ref="A8:A10"/>
  </mergeCells>
  <printOptions horizontalCentered="1" verticalCentered="1"/>
  <pageMargins left="0.1" right="0.1" top="0.1" bottom="0.1" header="0.3" footer="0.1"/>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64"/>
  <sheetViews>
    <sheetView topLeftCell="A253" zoomScale="150" zoomScaleNormal="150" workbookViewId="0">
      <selection activeCell="A27" sqref="A27"/>
    </sheetView>
  </sheetViews>
  <sheetFormatPr defaultColWidth="8.85546875" defaultRowHeight="12.6" customHeight="1" x14ac:dyDescent="0.25"/>
  <cols>
    <col min="1" max="1" width="10.42578125" style="1551" customWidth="1"/>
    <col min="2" max="2" width="57.85546875" style="1553" customWidth="1"/>
    <col min="3" max="3" width="15.5703125" style="1552" customWidth="1"/>
    <col min="4" max="4" width="12.7109375" style="1552" customWidth="1"/>
    <col min="5" max="5" width="22" style="1552" customWidth="1"/>
    <col min="6" max="6" width="21.28515625" style="1552" customWidth="1"/>
    <col min="7" max="7" width="13.5703125" style="1552" customWidth="1"/>
    <col min="8" max="8" width="9.28515625" style="1552" customWidth="1"/>
    <col min="9" max="9" width="10.28515625" style="1552" customWidth="1"/>
    <col min="10" max="10" width="15.5703125" style="1552" customWidth="1"/>
    <col min="11" max="16384" width="8.85546875" style="1552"/>
  </cols>
  <sheetData>
    <row r="1" spans="2:9" ht="31.5" customHeight="1" x14ac:dyDescent="0.25">
      <c r="B1" s="2236" t="s">
        <v>128</v>
      </c>
      <c r="C1" s="2236"/>
      <c r="D1" s="2236"/>
      <c r="E1" s="2236"/>
      <c r="F1" s="2236"/>
      <c r="G1" s="1547"/>
      <c r="H1" s="1547"/>
      <c r="I1" s="1547"/>
    </row>
    <row r="2" spans="2:9" ht="14.25" customHeight="1" thickBot="1" x14ac:dyDescent="0.3">
      <c r="B2" s="1597"/>
      <c r="C2" s="1547"/>
      <c r="D2" s="1547"/>
      <c r="E2" s="1547"/>
      <c r="F2" s="1547"/>
      <c r="G2" s="1547"/>
      <c r="H2" s="1547"/>
      <c r="I2" s="1547"/>
    </row>
    <row r="3" spans="2:9" ht="15" customHeight="1" thickBot="1" x14ac:dyDescent="0.3">
      <c r="B3" s="13" t="s">
        <v>96</v>
      </c>
      <c r="C3" s="2237" t="s">
        <v>146</v>
      </c>
      <c r="D3" s="2237"/>
      <c r="E3" s="2237"/>
      <c r="F3" s="2237"/>
    </row>
    <row r="4" spans="2:9" ht="15" customHeight="1" thickBot="1" x14ac:dyDescent="0.3">
      <c r="B4" s="13" t="s">
        <v>4</v>
      </c>
      <c r="C4" s="2252" t="s">
        <v>144</v>
      </c>
      <c r="D4" s="2253"/>
      <c r="E4" s="2253"/>
      <c r="F4" s="2254"/>
    </row>
    <row r="5" spans="2:9" ht="15" customHeight="1" thickBot="1" x14ac:dyDescent="0.3">
      <c r="B5" s="13" t="s">
        <v>35</v>
      </c>
      <c r="C5" s="2238" t="s">
        <v>5</v>
      </c>
      <c r="D5" s="2239"/>
      <c r="E5" s="2239"/>
      <c r="F5" s="2240"/>
    </row>
    <row r="6" spans="2:9" ht="15" customHeight="1" thickBot="1" x14ac:dyDescent="0.3">
      <c r="B6" s="2241" t="s">
        <v>493</v>
      </c>
      <c r="C6" s="2242"/>
      <c r="D6" s="2242"/>
      <c r="E6" s="2242"/>
      <c r="F6" s="2243"/>
    </row>
    <row r="7" spans="2:9" ht="15" customHeight="1" x14ac:dyDescent="0.25">
      <c r="B7" s="2255" t="s">
        <v>145</v>
      </c>
      <c r="C7" s="2256"/>
      <c r="D7" s="2256"/>
      <c r="E7" s="2256"/>
      <c r="F7" s="2256"/>
      <c r="G7" s="1554"/>
    </row>
    <row r="8" spans="2:9" ht="15" customHeight="1" x14ac:dyDescent="0.25">
      <c r="B8" s="2257"/>
      <c r="C8" s="2258"/>
      <c r="D8" s="2258"/>
      <c r="E8" s="2258"/>
      <c r="F8" s="2258"/>
      <c r="G8" s="1554"/>
    </row>
    <row r="9" spans="2:9" ht="15" customHeight="1" x14ac:dyDescent="0.25">
      <c r="B9" s="2257"/>
      <c r="C9" s="2258"/>
      <c r="D9" s="2258"/>
      <c r="E9" s="2258"/>
      <c r="F9" s="2258"/>
      <c r="G9" s="1554"/>
    </row>
    <row r="10" spans="2:9" ht="15" customHeight="1" x14ac:dyDescent="0.25">
      <c r="B10" s="2257"/>
      <c r="C10" s="2258"/>
      <c r="D10" s="2258"/>
      <c r="E10" s="2258"/>
      <c r="F10" s="2258"/>
      <c r="G10" s="1554"/>
    </row>
    <row r="11" spans="2:9" ht="15" customHeight="1" thickBot="1" x14ac:dyDescent="0.3">
      <c r="B11" s="2259"/>
      <c r="C11" s="2260"/>
      <c r="D11" s="2260"/>
      <c r="E11" s="2260"/>
      <c r="F11" s="2260"/>
      <c r="G11" s="1554"/>
    </row>
    <row r="12" spans="2:9" ht="15" customHeight="1" thickBot="1" x14ac:dyDescent="0.3">
      <c r="B12" s="2267" t="s">
        <v>137</v>
      </c>
      <c r="C12" s="2268"/>
      <c r="D12" s="2268"/>
      <c r="E12" s="2268"/>
      <c r="F12" s="2269"/>
    </row>
    <row r="13" spans="2:9" ht="74.25" customHeight="1" thickBot="1" x14ac:dyDescent="0.3">
      <c r="B13" s="2267" t="s">
        <v>147</v>
      </c>
      <c r="C13" s="2268"/>
      <c r="D13" s="2268"/>
      <c r="E13" s="2268"/>
      <c r="F13" s="2269"/>
    </row>
    <row r="14" spans="2:9" ht="15" customHeight="1" x14ac:dyDescent="0.25">
      <c r="B14" s="2225" t="s">
        <v>119</v>
      </c>
      <c r="C14" s="2276" t="s">
        <v>1170</v>
      </c>
      <c r="D14" s="1599">
        <v>2019</v>
      </c>
      <c r="E14" s="1599">
        <v>2020</v>
      </c>
      <c r="F14" s="1600">
        <v>2021</v>
      </c>
    </row>
    <row r="15" spans="2:9" ht="15" customHeight="1" thickBot="1" x14ac:dyDescent="0.3">
      <c r="B15" s="2226"/>
      <c r="C15" s="2277"/>
      <c r="D15" s="1601" t="s">
        <v>1171</v>
      </c>
      <c r="E15" s="1601" t="s">
        <v>1171</v>
      </c>
      <c r="F15" s="1602" t="s">
        <v>1171</v>
      </c>
    </row>
    <row r="16" spans="2:9" ht="15" customHeight="1" thickBot="1" x14ac:dyDescent="0.3">
      <c r="B16" s="1555" t="s">
        <v>517</v>
      </c>
      <c r="C16" s="1556">
        <f>100/678</f>
        <v>0.14749262536873156</v>
      </c>
      <c r="D16" s="1556">
        <f>110/678</f>
        <v>0.16224188790560473</v>
      </c>
      <c r="E16" s="1556">
        <f>110/678</f>
        <v>0.16224188790560473</v>
      </c>
      <c r="F16" s="1556">
        <f>120/678</f>
        <v>0.17699115044247787</v>
      </c>
    </row>
    <row r="17" spans="2:9" ht="15" customHeight="1" thickBot="1" x14ac:dyDescent="0.3">
      <c r="B17" s="1555" t="s">
        <v>499</v>
      </c>
      <c r="C17" s="1557">
        <v>678</v>
      </c>
      <c r="D17" s="1557">
        <v>678</v>
      </c>
      <c r="E17" s="1557">
        <v>678</v>
      </c>
      <c r="F17" s="1557">
        <v>678</v>
      </c>
    </row>
    <row r="18" spans="2:9" ht="15" customHeight="1" thickBot="1" x14ac:dyDescent="0.3">
      <c r="B18" s="1555" t="s">
        <v>518</v>
      </c>
      <c r="C18" s="1556">
        <f>C17/C19</f>
        <v>2.1868146045671527E-2</v>
      </c>
      <c r="D18" s="1556">
        <f t="shared" ref="D18" si="0">D17/D19</f>
        <v>2.1868146045671527E-2</v>
      </c>
      <c r="E18" s="1556">
        <f t="shared" ref="E18" si="1">E17/E19</f>
        <v>2.1868146045671527E-2</v>
      </c>
      <c r="F18" s="1556">
        <f t="shared" ref="F18" si="2">F17/F19</f>
        <v>2.1868146045671527E-2</v>
      </c>
    </row>
    <row r="19" spans="2:9" ht="15" customHeight="1" thickBot="1" x14ac:dyDescent="0.3">
      <c r="B19" s="1555" t="s">
        <v>519</v>
      </c>
      <c r="C19" s="1557">
        <v>31004</v>
      </c>
      <c r="D19" s="1557">
        <v>31004</v>
      </c>
      <c r="E19" s="1557">
        <v>31004</v>
      </c>
      <c r="F19" s="1557">
        <v>31004</v>
      </c>
    </row>
    <row r="20" spans="2:9" ht="15" customHeight="1" thickBot="1" x14ac:dyDescent="0.3">
      <c r="B20" s="1555" t="s">
        <v>527</v>
      </c>
      <c r="C20" s="1556">
        <f>40/C21</f>
        <v>3.1031807602792862E-2</v>
      </c>
      <c r="D20" s="1556">
        <f t="shared" ref="D20" si="3">40/D21</f>
        <v>3.1496062992125984E-2</v>
      </c>
      <c r="E20" s="1556">
        <f t="shared" ref="E20" si="4">40/E21</f>
        <v>3.2000000000000001E-2</v>
      </c>
      <c r="F20" s="1556">
        <f t="shared" ref="F20" si="5">40/F21</f>
        <v>3.2520325203252036E-2</v>
      </c>
    </row>
    <row r="21" spans="2:9" ht="15" customHeight="1" thickBot="1" x14ac:dyDescent="0.3">
      <c r="B21" s="1555" t="s">
        <v>551</v>
      </c>
      <c r="C21" s="1558">
        <v>1289</v>
      </c>
      <c r="D21" s="1558">
        <v>1270</v>
      </c>
      <c r="E21" s="1558">
        <v>1250</v>
      </c>
      <c r="F21" s="1558">
        <v>1230</v>
      </c>
    </row>
    <row r="22" spans="2:9" ht="15" customHeight="1" thickBot="1" x14ac:dyDescent="0.3">
      <c r="B22" s="1555" t="s">
        <v>501</v>
      </c>
      <c r="C22" s="1559">
        <f>C23/C24</f>
        <v>0.41666666666666669</v>
      </c>
      <c r="D22" s="1559">
        <f>D23/D24</f>
        <v>0.41666666666666669</v>
      </c>
      <c r="E22" s="1559">
        <f t="shared" ref="E22" si="6">E23/E24</f>
        <v>0.41666666666666669</v>
      </c>
      <c r="F22" s="1559">
        <f t="shared" ref="F22" si="7">F23/F24</f>
        <v>0.41666666666666669</v>
      </c>
    </row>
    <row r="23" spans="2:9" ht="15" customHeight="1" thickBot="1" x14ac:dyDescent="0.3">
      <c r="B23" s="1555" t="s">
        <v>520</v>
      </c>
      <c r="C23" s="1560">
        <f>40</f>
        <v>40</v>
      </c>
      <c r="D23" s="1560">
        <f>40</f>
        <v>40</v>
      </c>
      <c r="E23" s="1560">
        <f>40</f>
        <v>40</v>
      </c>
      <c r="F23" s="1560">
        <f>40</f>
        <v>40</v>
      </c>
    </row>
    <row r="24" spans="2:9" ht="15" customHeight="1" thickBot="1" x14ac:dyDescent="0.3">
      <c r="B24" s="1555" t="s">
        <v>521</v>
      </c>
      <c r="C24" s="1557">
        <v>96</v>
      </c>
      <c r="D24" s="1557">
        <v>96</v>
      </c>
      <c r="E24" s="1557">
        <v>96</v>
      </c>
      <c r="F24" s="1557">
        <v>96</v>
      </c>
    </row>
    <row r="25" spans="2:9" ht="15" customHeight="1" thickBot="1" x14ac:dyDescent="0.3">
      <c r="B25" s="1555" t="s">
        <v>507</v>
      </c>
      <c r="C25" s="1556">
        <v>7.7579519006982151E-2</v>
      </c>
      <c r="D25" s="1556">
        <v>7.874015748031496E-2</v>
      </c>
      <c r="E25" s="1556">
        <v>0.08</v>
      </c>
      <c r="F25" s="1556">
        <v>8.1300813008130079E-2</v>
      </c>
    </row>
    <row r="26" spans="2:9" ht="15" customHeight="1" thickBot="1" x14ac:dyDescent="0.3">
      <c r="B26" s="1555" t="s">
        <v>508</v>
      </c>
      <c r="C26" s="1558">
        <v>1289</v>
      </c>
      <c r="D26" s="1558">
        <v>1270</v>
      </c>
      <c r="E26" s="1558">
        <v>1250</v>
      </c>
      <c r="F26" s="1558">
        <v>1230</v>
      </c>
    </row>
    <row r="27" spans="2:9" ht="40.5" customHeight="1" thickBot="1" x14ac:dyDescent="0.3">
      <c r="B27" s="1676" t="s">
        <v>491</v>
      </c>
      <c r="C27" s="2227" t="s">
        <v>498</v>
      </c>
      <c r="D27" s="2228"/>
      <c r="E27" s="2228"/>
      <c r="F27" s="2229"/>
      <c r="G27" s="1561"/>
      <c r="I27" s="1561"/>
    </row>
    <row r="28" spans="2:9" ht="15" customHeight="1" thickBot="1" x14ac:dyDescent="0.3">
      <c r="B28" s="2230" t="s">
        <v>120</v>
      </c>
      <c r="C28" s="2231"/>
      <c r="D28" s="2231"/>
      <c r="E28" s="2231"/>
      <c r="F28" s="2232"/>
    </row>
    <row r="29" spans="2:9" ht="15" customHeight="1" thickBot="1" x14ac:dyDescent="0.3">
      <c r="B29" s="1555" t="s">
        <v>517</v>
      </c>
      <c r="C29" s="1556">
        <f>100/678</f>
        <v>0.14749262536873156</v>
      </c>
      <c r="D29" s="1556">
        <f>110/678</f>
        <v>0.16224188790560473</v>
      </c>
      <c r="E29" s="1556">
        <f>110/678</f>
        <v>0.16224188790560473</v>
      </c>
      <c r="F29" s="1556">
        <f>120/678</f>
        <v>0.17699115044247787</v>
      </c>
    </row>
    <row r="30" spans="2:9" ht="15" customHeight="1" thickBot="1" x14ac:dyDescent="0.3">
      <c r="B30" s="1555" t="s">
        <v>499</v>
      </c>
      <c r="C30" s="1557">
        <v>678</v>
      </c>
      <c r="D30" s="1557">
        <v>678</v>
      </c>
      <c r="E30" s="1557">
        <v>678</v>
      </c>
      <c r="F30" s="1557">
        <v>678</v>
      </c>
    </row>
    <row r="31" spans="2:9" ht="15" customHeight="1" thickBot="1" x14ac:dyDescent="0.3">
      <c r="B31" s="1555" t="s">
        <v>518</v>
      </c>
      <c r="C31" s="1556">
        <f>C30/C32</f>
        <v>2.1868146045671527E-2</v>
      </c>
      <c r="D31" s="1556">
        <f t="shared" ref="D31:F31" si="8">D30/D32</f>
        <v>2.1868146045671527E-2</v>
      </c>
      <c r="E31" s="1556">
        <f t="shared" si="8"/>
        <v>2.1868146045671527E-2</v>
      </c>
      <c r="F31" s="1556">
        <f t="shared" si="8"/>
        <v>2.1868146045671527E-2</v>
      </c>
    </row>
    <row r="32" spans="2:9" ht="15" customHeight="1" thickBot="1" x14ac:dyDescent="0.3">
      <c r="B32" s="1555" t="s">
        <v>519</v>
      </c>
      <c r="C32" s="1557">
        <v>31004</v>
      </c>
      <c r="D32" s="1557">
        <v>31004</v>
      </c>
      <c r="E32" s="1557">
        <v>31004</v>
      </c>
      <c r="F32" s="1557">
        <v>31004</v>
      </c>
    </row>
    <row r="33" spans="2:10" ht="15" customHeight="1" thickBot="1" x14ac:dyDescent="0.3">
      <c r="B33" s="2233" t="s">
        <v>66</v>
      </c>
      <c r="C33" s="2234"/>
      <c r="D33" s="2234"/>
      <c r="E33" s="2234"/>
      <c r="F33" s="2235"/>
    </row>
    <row r="34" spans="2:10" ht="15" customHeight="1" thickBot="1" x14ac:dyDescent="0.3">
      <c r="B34" s="2233" t="s">
        <v>121</v>
      </c>
      <c r="C34" s="2234"/>
      <c r="D34" s="2234"/>
      <c r="E34" s="2234"/>
      <c r="F34" s="2235"/>
    </row>
    <row r="35" spans="2:10" ht="15" customHeight="1" thickBot="1" x14ac:dyDescent="0.3">
      <c r="B35" s="1562" t="s">
        <v>142</v>
      </c>
      <c r="C35" s="2230" t="s">
        <v>526</v>
      </c>
      <c r="D35" s="2231"/>
      <c r="E35" s="2231"/>
      <c r="F35" s="2232"/>
    </row>
    <row r="36" spans="2:10" ht="15" customHeight="1" thickBot="1" x14ac:dyDescent="0.3">
      <c r="B36" s="1563" t="s">
        <v>10</v>
      </c>
      <c r="C36" s="2230" t="s">
        <v>504</v>
      </c>
      <c r="D36" s="2231"/>
      <c r="E36" s="2231"/>
      <c r="F36" s="2232"/>
    </row>
    <row r="37" spans="2:10" ht="15" customHeight="1" thickBot="1" x14ac:dyDescent="0.3">
      <c r="B37" s="1563" t="s">
        <v>13</v>
      </c>
      <c r="C37" s="2217" t="s">
        <v>500</v>
      </c>
      <c r="D37" s="2218"/>
      <c r="E37" s="2218"/>
      <c r="F37" s="2219"/>
    </row>
    <row r="38" spans="2:10" ht="15" customHeight="1" x14ac:dyDescent="0.25">
      <c r="B38" s="2220"/>
      <c r="C38" s="1564">
        <v>2018</v>
      </c>
      <c r="D38" s="1564">
        <v>2019</v>
      </c>
      <c r="E38" s="1564">
        <v>2020</v>
      </c>
      <c r="F38" s="1564">
        <v>2021</v>
      </c>
    </row>
    <row r="39" spans="2:10" ht="15" customHeight="1" thickBot="1" x14ac:dyDescent="0.3">
      <c r="B39" s="2221"/>
      <c r="C39" s="1565" t="s">
        <v>6</v>
      </c>
      <c r="D39" s="1565" t="s">
        <v>7</v>
      </c>
      <c r="E39" s="1565" t="s">
        <v>7</v>
      </c>
      <c r="F39" s="1565" t="s">
        <v>7</v>
      </c>
    </row>
    <row r="40" spans="2:10" ht="15" customHeight="1" thickBot="1" x14ac:dyDescent="0.3">
      <c r="B40" s="1563" t="s">
        <v>9</v>
      </c>
      <c r="C40" s="1566">
        <v>100</v>
      </c>
      <c r="D40" s="1566">
        <v>110</v>
      </c>
      <c r="E40" s="1566">
        <v>110</v>
      </c>
      <c r="F40" s="1566">
        <v>120</v>
      </c>
    </row>
    <row r="41" spans="2:10" ht="15" customHeight="1" thickBot="1" x14ac:dyDescent="0.3">
      <c r="B41" s="1563" t="s">
        <v>14</v>
      </c>
      <c r="C41" s="1566">
        <v>10000</v>
      </c>
      <c r="D41" s="1566">
        <v>11000</v>
      </c>
      <c r="E41" s="1566">
        <v>11000</v>
      </c>
      <c r="F41" s="1566">
        <v>12000</v>
      </c>
    </row>
    <row r="42" spans="2:10" ht="15" customHeight="1" thickBot="1" x14ac:dyDescent="0.3">
      <c r="B42" s="1563" t="s">
        <v>23</v>
      </c>
      <c r="C42" s="1566">
        <f>C41/C40</f>
        <v>100</v>
      </c>
      <c r="D42" s="1566">
        <f t="shared" ref="D42:F42" si="9">D41/D40</f>
        <v>100</v>
      </c>
      <c r="E42" s="1566">
        <f t="shared" si="9"/>
        <v>100</v>
      </c>
      <c r="F42" s="1566">
        <f t="shared" si="9"/>
        <v>100</v>
      </c>
      <c r="G42" s="1567"/>
      <c r="H42" s="1567"/>
      <c r="I42" s="1567"/>
      <c r="J42" s="1567"/>
    </row>
    <row r="43" spans="2:10" ht="15" customHeight="1" thickBot="1" x14ac:dyDescent="0.3">
      <c r="B43" s="1563" t="s">
        <v>15</v>
      </c>
      <c r="C43" s="1568" t="s">
        <v>21</v>
      </c>
      <c r="D43" s="1569">
        <f>D40/C40-1</f>
        <v>0.10000000000000009</v>
      </c>
      <c r="E43" s="1569">
        <f t="shared" ref="E43:F45" si="10">E40/D40-1</f>
        <v>0</v>
      </c>
      <c r="F43" s="1569">
        <f t="shared" si="10"/>
        <v>9.0909090909090828E-2</v>
      </c>
    </row>
    <row r="44" spans="2:10" ht="15" customHeight="1" thickBot="1" x14ac:dyDescent="0.3">
      <c r="B44" s="1563" t="s">
        <v>16</v>
      </c>
      <c r="C44" s="1568" t="s">
        <v>21</v>
      </c>
      <c r="D44" s="1569">
        <f>D41/C41-1</f>
        <v>0.10000000000000009</v>
      </c>
      <c r="E44" s="1569">
        <f t="shared" si="10"/>
        <v>0</v>
      </c>
      <c r="F44" s="1569">
        <f t="shared" si="10"/>
        <v>9.0909090909090828E-2</v>
      </c>
    </row>
    <row r="45" spans="2:10" ht="15" customHeight="1" thickBot="1" x14ac:dyDescent="0.3">
      <c r="B45" s="1563" t="s">
        <v>17</v>
      </c>
      <c r="C45" s="1568" t="s">
        <v>21</v>
      </c>
      <c r="D45" s="1569">
        <f>D42/C42-1</f>
        <v>0</v>
      </c>
      <c r="E45" s="1569">
        <f t="shared" si="10"/>
        <v>0</v>
      </c>
      <c r="F45" s="1569">
        <f t="shared" si="10"/>
        <v>0</v>
      </c>
    </row>
    <row r="46" spans="2:10" ht="15" customHeight="1" thickBot="1" x14ac:dyDescent="0.3">
      <c r="B46" s="2222" t="s">
        <v>138</v>
      </c>
      <c r="C46" s="2223"/>
      <c r="D46" s="2223"/>
      <c r="E46" s="2223"/>
      <c r="F46" s="2224"/>
    </row>
    <row r="47" spans="2:10" ht="15" customHeight="1" x14ac:dyDescent="0.25">
      <c r="B47" s="2220"/>
      <c r="C47" s="1564">
        <v>2018</v>
      </c>
      <c r="D47" s="1564">
        <v>2019</v>
      </c>
      <c r="E47" s="1564">
        <v>2020</v>
      </c>
      <c r="F47" s="1564">
        <v>2021</v>
      </c>
    </row>
    <row r="48" spans="2:10" ht="15" customHeight="1" thickBot="1" x14ac:dyDescent="0.3">
      <c r="B48" s="2221"/>
      <c r="C48" s="1565" t="s">
        <v>6</v>
      </c>
      <c r="D48" s="1565" t="s">
        <v>7</v>
      </c>
      <c r="E48" s="1565" t="s">
        <v>7</v>
      </c>
      <c r="F48" s="1565" t="s">
        <v>7</v>
      </c>
    </row>
    <row r="49" spans="2:9" ht="15" customHeight="1" thickBot="1" x14ac:dyDescent="0.3">
      <c r="B49" s="1563" t="s">
        <v>0</v>
      </c>
      <c r="C49" s="1570">
        <v>0</v>
      </c>
      <c r="D49" s="1570">
        <v>0</v>
      </c>
      <c r="E49" s="1570">
        <v>0</v>
      </c>
      <c r="F49" s="1570">
        <v>0</v>
      </c>
    </row>
    <row r="50" spans="2:9" ht="15" customHeight="1" thickBot="1" x14ac:dyDescent="0.3">
      <c r="B50" s="1563" t="s">
        <v>49</v>
      </c>
      <c r="C50" s="1570">
        <v>0</v>
      </c>
      <c r="D50" s="1570">
        <v>0</v>
      </c>
      <c r="E50" s="1570">
        <v>0</v>
      </c>
      <c r="F50" s="1570">
        <v>0</v>
      </c>
    </row>
    <row r="51" spans="2:9" ht="15" customHeight="1" thickBot="1" x14ac:dyDescent="0.3">
      <c r="B51" s="1563" t="s">
        <v>1</v>
      </c>
      <c r="C51" s="1571">
        <f>C41</f>
        <v>10000</v>
      </c>
      <c r="D51" s="1571">
        <f t="shared" ref="D51:F51" si="11">D41</f>
        <v>11000</v>
      </c>
      <c r="E51" s="1571">
        <f t="shared" si="11"/>
        <v>11000</v>
      </c>
      <c r="F51" s="1571">
        <f t="shared" si="11"/>
        <v>12000</v>
      </c>
    </row>
    <row r="52" spans="2:9" ht="15" customHeight="1" thickBot="1" x14ac:dyDescent="0.3">
      <c r="B52" s="1563" t="s">
        <v>2</v>
      </c>
      <c r="C52" s="1571">
        <v>0</v>
      </c>
      <c r="D52" s="1571">
        <v>0</v>
      </c>
      <c r="E52" s="1571">
        <v>0</v>
      </c>
      <c r="F52" s="1571">
        <v>0</v>
      </c>
    </row>
    <row r="53" spans="2:9" ht="15" customHeight="1" thickBot="1" x14ac:dyDescent="0.3">
      <c r="B53" s="1563" t="s">
        <v>28</v>
      </c>
      <c r="C53" s="1571"/>
      <c r="D53" s="1571"/>
      <c r="E53" s="1571"/>
      <c r="F53" s="1571"/>
    </row>
    <row r="54" spans="2:9" ht="15" customHeight="1" thickBot="1" x14ac:dyDescent="0.3">
      <c r="B54" s="1563" t="s">
        <v>30</v>
      </c>
      <c r="C54" s="1571">
        <v>0</v>
      </c>
      <c r="D54" s="1571">
        <v>0</v>
      </c>
      <c r="E54" s="1571">
        <v>0</v>
      </c>
      <c r="F54" s="1571">
        <v>0</v>
      </c>
    </row>
    <row r="55" spans="2:9" ht="15" customHeight="1" thickBot="1" x14ac:dyDescent="0.3">
      <c r="B55" s="1563" t="s">
        <v>3</v>
      </c>
      <c r="C55" s="1571">
        <v>0</v>
      </c>
      <c r="D55" s="1571">
        <v>0</v>
      </c>
      <c r="E55" s="1571">
        <v>0</v>
      </c>
      <c r="F55" s="1571">
        <v>0</v>
      </c>
    </row>
    <row r="56" spans="2:9" ht="15" customHeight="1" thickBot="1" x14ac:dyDescent="0.3">
      <c r="B56" s="1572" t="s">
        <v>68</v>
      </c>
      <c r="C56" s="1571">
        <f>C55+C54+C53+C52+C51+C50+C49</f>
        <v>10000</v>
      </c>
      <c r="D56" s="1571">
        <f>D55+D54+D53+D52+D51+D50+D49</f>
        <v>11000</v>
      </c>
      <c r="E56" s="1571">
        <f>E55+E54+E53+E52+E51+E50+E49</f>
        <v>11000</v>
      </c>
      <c r="F56" s="1571">
        <f>F55+F54+F53+F52+F51+F50+F49</f>
        <v>12000</v>
      </c>
    </row>
    <row r="57" spans="2:9" ht="15" customHeight="1" thickBot="1" x14ac:dyDescent="0.3">
      <c r="B57" s="1573" t="s">
        <v>70</v>
      </c>
      <c r="C57" s="1574">
        <f>C56-C41</f>
        <v>0</v>
      </c>
      <c r="D57" s="1574">
        <f t="shared" ref="D57:F57" si="12">D56-D41</f>
        <v>0</v>
      </c>
      <c r="E57" s="1574">
        <f t="shared" si="12"/>
        <v>0</v>
      </c>
      <c r="F57" s="1574">
        <f t="shared" si="12"/>
        <v>0</v>
      </c>
    </row>
    <row r="58" spans="2:9" ht="27.75" customHeight="1" thickBot="1" x14ac:dyDescent="0.3">
      <c r="B58" s="309" t="s">
        <v>22</v>
      </c>
      <c r="C58" s="2261" t="s">
        <v>505</v>
      </c>
      <c r="D58" s="2262"/>
      <c r="E58" s="2262"/>
      <c r="F58" s="2263"/>
      <c r="G58" s="1561"/>
      <c r="I58" s="1561"/>
    </row>
    <row r="59" spans="2:9" ht="15" customHeight="1" thickBot="1" x14ac:dyDescent="0.3">
      <c r="B59" s="2264" t="s">
        <v>495</v>
      </c>
      <c r="C59" s="2265"/>
      <c r="D59" s="2265"/>
      <c r="E59" s="2265"/>
      <c r="F59" s="2266"/>
    </row>
    <row r="60" spans="2:9" ht="15" customHeight="1" thickBot="1" x14ac:dyDescent="0.3">
      <c r="B60" s="1555" t="s">
        <v>527</v>
      </c>
      <c r="C60" s="1556">
        <f>40/C61</f>
        <v>3.1031807602792862E-2</v>
      </c>
      <c r="D60" s="1556">
        <f t="shared" ref="D60:F60" si="13">40/D61</f>
        <v>3.1496062992125984E-2</v>
      </c>
      <c r="E60" s="1556">
        <f t="shared" si="13"/>
        <v>3.2000000000000001E-2</v>
      </c>
      <c r="F60" s="1556">
        <f t="shared" si="13"/>
        <v>3.2520325203252036E-2</v>
      </c>
    </row>
    <row r="61" spans="2:9" ht="15" customHeight="1" thickBot="1" x14ac:dyDescent="0.3">
      <c r="B61" s="1555" t="s">
        <v>550</v>
      </c>
      <c r="C61" s="1558">
        <v>1289</v>
      </c>
      <c r="D61" s="1558">
        <v>1270</v>
      </c>
      <c r="E61" s="1558">
        <v>1250</v>
      </c>
      <c r="F61" s="1558">
        <v>1230</v>
      </c>
    </row>
    <row r="62" spans="2:9" ht="15" customHeight="1" thickBot="1" x14ac:dyDescent="0.3">
      <c r="B62" s="1555" t="s">
        <v>501</v>
      </c>
      <c r="C62" s="1559">
        <f>C63/C64</f>
        <v>0.41666666666666669</v>
      </c>
      <c r="D62" s="1559">
        <f>D63/D64</f>
        <v>0.41666666666666669</v>
      </c>
      <c r="E62" s="1559">
        <f t="shared" ref="E62:F62" si="14">E63/E64</f>
        <v>0.41666666666666669</v>
      </c>
      <c r="F62" s="1559">
        <f t="shared" si="14"/>
        <v>0.41666666666666669</v>
      </c>
    </row>
    <row r="63" spans="2:9" ht="15" customHeight="1" thickBot="1" x14ac:dyDescent="0.3">
      <c r="B63" s="1555" t="s">
        <v>520</v>
      </c>
      <c r="C63" s="1560">
        <f>40</f>
        <v>40</v>
      </c>
      <c r="D63" s="1560">
        <f>40</f>
        <v>40</v>
      </c>
      <c r="E63" s="1560">
        <f>40</f>
        <v>40</v>
      </c>
      <c r="F63" s="1560">
        <f>40</f>
        <v>40</v>
      </c>
    </row>
    <row r="64" spans="2:9" ht="15" customHeight="1" thickBot="1" x14ac:dyDescent="0.3">
      <c r="B64" s="1555" t="s">
        <v>521</v>
      </c>
      <c r="C64" s="1557">
        <v>96</v>
      </c>
      <c r="D64" s="1557">
        <v>96</v>
      </c>
      <c r="E64" s="1557">
        <v>96</v>
      </c>
      <c r="F64" s="1557">
        <v>96</v>
      </c>
    </row>
    <row r="65" spans="2:9" ht="15" customHeight="1" thickBot="1" x14ac:dyDescent="0.3">
      <c r="B65" s="2233" t="s">
        <v>67</v>
      </c>
      <c r="C65" s="2234"/>
      <c r="D65" s="2234"/>
      <c r="E65" s="2234"/>
      <c r="F65" s="2235"/>
    </row>
    <row r="66" spans="2:9" ht="15" customHeight="1" thickBot="1" x14ac:dyDescent="0.3">
      <c r="B66" s="2233" t="s">
        <v>121</v>
      </c>
      <c r="C66" s="2234"/>
      <c r="D66" s="2234"/>
      <c r="E66" s="2234"/>
      <c r="F66" s="2235"/>
    </row>
    <row r="67" spans="2:9" ht="15" customHeight="1" thickBot="1" x14ac:dyDescent="0.3">
      <c r="B67" s="1573" t="s">
        <v>45</v>
      </c>
      <c r="C67" s="2230" t="s">
        <v>502</v>
      </c>
      <c r="D67" s="2231"/>
      <c r="E67" s="2231"/>
      <c r="F67" s="2232"/>
    </row>
    <row r="68" spans="2:9" ht="15" customHeight="1" thickBot="1" x14ac:dyDescent="0.3">
      <c r="B68" s="1563" t="s">
        <v>10</v>
      </c>
      <c r="C68" s="2230" t="s">
        <v>496</v>
      </c>
      <c r="D68" s="2231"/>
      <c r="E68" s="2231"/>
      <c r="F68" s="2232"/>
    </row>
    <row r="69" spans="2:9" ht="15" customHeight="1" thickBot="1" x14ac:dyDescent="0.3">
      <c r="B69" s="1563" t="s">
        <v>13</v>
      </c>
      <c r="C69" s="2217" t="s">
        <v>514</v>
      </c>
      <c r="D69" s="2218"/>
      <c r="E69" s="2218"/>
      <c r="F69" s="2219"/>
    </row>
    <row r="70" spans="2:9" ht="15" customHeight="1" x14ac:dyDescent="0.25">
      <c r="B70" s="2220"/>
      <c r="C70" s="1564">
        <v>2018</v>
      </c>
      <c r="D70" s="1564">
        <v>2019</v>
      </c>
      <c r="E70" s="1564">
        <v>2020</v>
      </c>
      <c r="F70" s="1564">
        <v>2021</v>
      </c>
    </row>
    <row r="71" spans="2:9" ht="15" customHeight="1" thickBot="1" x14ac:dyDescent="0.3">
      <c r="B71" s="2221"/>
      <c r="C71" s="1565" t="s">
        <v>6</v>
      </c>
      <c r="D71" s="1565" t="s">
        <v>7</v>
      </c>
      <c r="E71" s="1565" t="s">
        <v>7</v>
      </c>
      <c r="F71" s="1565" t="s">
        <v>7</v>
      </c>
    </row>
    <row r="72" spans="2:9" ht="15" customHeight="1" thickBot="1" x14ac:dyDescent="0.3">
      <c r="B72" s="1568" t="s">
        <v>9</v>
      </c>
      <c r="C72" s="1565">
        <v>80</v>
      </c>
      <c r="D72" s="1565">
        <v>80</v>
      </c>
      <c r="E72" s="1565">
        <v>80</v>
      </c>
      <c r="F72" s="1565">
        <v>80</v>
      </c>
    </row>
    <row r="73" spans="2:9" ht="15" customHeight="1" thickBot="1" x14ac:dyDescent="0.3">
      <c r="B73" s="1563" t="s">
        <v>14</v>
      </c>
      <c r="C73" s="1566">
        <v>52850</v>
      </c>
      <c r="D73" s="1566">
        <v>52850</v>
      </c>
      <c r="E73" s="1566">
        <v>52850</v>
      </c>
      <c r="F73" s="1566">
        <v>52850</v>
      </c>
      <c r="G73" s="1567"/>
      <c r="H73" s="1567"/>
      <c r="I73" s="1567"/>
    </row>
    <row r="74" spans="2:9" ht="15" customHeight="1" thickBot="1" x14ac:dyDescent="0.3">
      <c r="B74" s="1563" t="s">
        <v>23</v>
      </c>
      <c r="C74" s="1566">
        <v>660.63</v>
      </c>
      <c r="D74" s="1566">
        <v>660.63</v>
      </c>
      <c r="E74" s="1566">
        <v>660.63</v>
      </c>
      <c r="F74" s="1566">
        <v>660.63</v>
      </c>
    </row>
    <row r="75" spans="2:9" ht="15" customHeight="1" thickBot="1" x14ac:dyDescent="0.3">
      <c r="B75" s="1563" t="s">
        <v>15</v>
      </c>
      <c r="C75" s="1568" t="s">
        <v>21</v>
      </c>
      <c r="D75" s="1569">
        <f>D72/C72-1</f>
        <v>0</v>
      </c>
      <c r="E75" s="1569">
        <f t="shared" ref="E75:E77" si="15">E72/D72-1</f>
        <v>0</v>
      </c>
      <c r="F75" s="1569">
        <f t="shared" ref="F75:F77" si="16">F72/E72-1</f>
        <v>0</v>
      </c>
    </row>
    <row r="76" spans="2:9" ht="15" customHeight="1" thickBot="1" x14ac:dyDescent="0.3">
      <c r="B76" s="1563" t="s">
        <v>16</v>
      </c>
      <c r="C76" s="1568" t="s">
        <v>21</v>
      </c>
      <c r="D76" s="1569">
        <f>D73/C73-1</f>
        <v>0</v>
      </c>
      <c r="E76" s="1569">
        <f t="shared" si="15"/>
        <v>0</v>
      </c>
      <c r="F76" s="1569">
        <f t="shared" si="16"/>
        <v>0</v>
      </c>
    </row>
    <row r="77" spans="2:9" ht="15" customHeight="1" thickBot="1" x14ac:dyDescent="0.3">
      <c r="B77" s="1563" t="s">
        <v>17</v>
      </c>
      <c r="C77" s="1568" t="s">
        <v>21</v>
      </c>
      <c r="D77" s="1569">
        <f>D74/C74-1</f>
        <v>0</v>
      </c>
      <c r="E77" s="1569">
        <f t="shared" si="15"/>
        <v>0</v>
      </c>
      <c r="F77" s="1569">
        <f t="shared" si="16"/>
        <v>0</v>
      </c>
    </row>
    <row r="78" spans="2:9" ht="15" customHeight="1" thickBot="1" x14ac:dyDescent="0.3">
      <c r="B78" s="2222" t="s">
        <v>503</v>
      </c>
      <c r="C78" s="2223"/>
      <c r="D78" s="2223"/>
      <c r="E78" s="2223"/>
      <c r="F78" s="2224"/>
    </row>
    <row r="79" spans="2:9" ht="15" customHeight="1" x14ac:dyDescent="0.25">
      <c r="B79" s="2220"/>
      <c r="C79" s="1564">
        <v>2018</v>
      </c>
      <c r="D79" s="1564">
        <v>2019</v>
      </c>
      <c r="E79" s="1564">
        <v>2020</v>
      </c>
      <c r="F79" s="1564">
        <v>2021</v>
      </c>
    </row>
    <row r="80" spans="2:9" ht="15" customHeight="1" thickBot="1" x14ac:dyDescent="0.3">
      <c r="B80" s="2221"/>
      <c r="C80" s="1565" t="s">
        <v>6</v>
      </c>
      <c r="D80" s="1565" t="s">
        <v>7</v>
      </c>
      <c r="E80" s="1565" t="s">
        <v>7</v>
      </c>
      <c r="F80" s="1565" t="s">
        <v>7</v>
      </c>
    </row>
    <row r="81" spans="2:6" ht="15" customHeight="1" thickBot="1" x14ac:dyDescent="0.3">
      <c r="B81" s="1563" t="s">
        <v>0</v>
      </c>
      <c r="C81" s="1570">
        <v>30484</v>
      </c>
      <c r="D81" s="1570">
        <v>30484</v>
      </c>
      <c r="E81" s="1570">
        <v>30484</v>
      </c>
      <c r="F81" s="1570">
        <v>30484</v>
      </c>
    </row>
    <row r="82" spans="2:6" ht="15" customHeight="1" thickBot="1" x14ac:dyDescent="0.3">
      <c r="B82" s="1563" t="s">
        <v>49</v>
      </c>
      <c r="C82" s="1570">
        <v>5090.8</v>
      </c>
      <c r="D82" s="1570">
        <v>5090.8</v>
      </c>
      <c r="E82" s="1570">
        <v>5090.8</v>
      </c>
      <c r="F82" s="1570">
        <v>5090.8</v>
      </c>
    </row>
    <row r="83" spans="2:6" ht="15" customHeight="1" thickBot="1" x14ac:dyDescent="0.3">
      <c r="B83" s="1563" t="s">
        <v>1</v>
      </c>
      <c r="C83" s="1571">
        <v>17275</v>
      </c>
      <c r="D83" s="1571">
        <v>17275</v>
      </c>
      <c r="E83" s="1571">
        <v>17275</v>
      </c>
      <c r="F83" s="1571">
        <v>17275</v>
      </c>
    </row>
    <row r="84" spans="2:6" ht="15" customHeight="1" thickBot="1" x14ac:dyDescent="0.3">
      <c r="B84" s="1563" t="s">
        <v>2</v>
      </c>
      <c r="C84" s="1571">
        <v>0</v>
      </c>
      <c r="D84" s="1571">
        <v>0</v>
      </c>
      <c r="E84" s="1571">
        <v>0</v>
      </c>
      <c r="F84" s="1571">
        <v>0</v>
      </c>
    </row>
    <row r="85" spans="2:6" ht="15" customHeight="1" thickBot="1" x14ac:dyDescent="0.3">
      <c r="B85" s="1563" t="s">
        <v>28</v>
      </c>
      <c r="C85" s="1571">
        <v>0</v>
      </c>
      <c r="D85" s="1571">
        <v>0</v>
      </c>
      <c r="E85" s="1571">
        <v>0</v>
      </c>
      <c r="F85" s="1571">
        <v>0</v>
      </c>
    </row>
    <row r="86" spans="2:6" ht="15" customHeight="1" thickBot="1" x14ac:dyDescent="0.3">
      <c r="B86" s="1563" t="s">
        <v>30</v>
      </c>
      <c r="C86" s="1571">
        <v>0</v>
      </c>
      <c r="D86" s="1571">
        <v>0</v>
      </c>
      <c r="E86" s="1571">
        <v>0</v>
      </c>
      <c r="F86" s="1571">
        <v>0</v>
      </c>
    </row>
    <row r="87" spans="2:6" ht="15" customHeight="1" thickBot="1" x14ac:dyDescent="0.3">
      <c r="B87" s="1563" t="s">
        <v>3</v>
      </c>
      <c r="C87" s="1571">
        <v>0</v>
      </c>
      <c r="D87" s="1571">
        <v>0</v>
      </c>
      <c r="E87" s="1571">
        <v>0</v>
      </c>
      <c r="F87" s="1571">
        <v>0</v>
      </c>
    </row>
    <row r="88" spans="2:6" ht="15" customHeight="1" thickBot="1" x14ac:dyDescent="0.3">
      <c r="B88" s="1572" t="s">
        <v>68</v>
      </c>
      <c r="C88" s="1571">
        <f>C87+C86+C85+C84+C83+C82+C81</f>
        <v>52849.8</v>
      </c>
      <c r="D88" s="1571">
        <f>D87+D86+D85+D84+D83+D82+D81</f>
        <v>52849.8</v>
      </c>
      <c r="E88" s="1571">
        <f>E87+E86+E85+E84+E83+E82+E81</f>
        <v>52849.8</v>
      </c>
      <c r="F88" s="1571">
        <f>F87+F86+F85+F84+F83+F82+F81</f>
        <v>52849.8</v>
      </c>
    </row>
    <row r="89" spans="2:6" ht="15" customHeight="1" thickBot="1" x14ac:dyDescent="0.3">
      <c r="B89" s="1573" t="s">
        <v>70</v>
      </c>
      <c r="C89" s="1574">
        <f>C73-C88</f>
        <v>0.19999999999708962</v>
      </c>
      <c r="D89" s="1574">
        <f t="shared" ref="D89:F89" si="17">D73-D88</f>
        <v>0.19999999999708962</v>
      </c>
      <c r="E89" s="1574">
        <f t="shared" si="17"/>
        <v>0.19999999999708962</v>
      </c>
      <c r="F89" s="1574">
        <f t="shared" si="17"/>
        <v>0.19999999999708962</v>
      </c>
    </row>
    <row r="90" spans="2:6" ht="60.75" customHeight="1" thickBot="1" x14ac:dyDescent="0.3">
      <c r="B90" s="309" t="s">
        <v>497</v>
      </c>
      <c r="C90" s="2270" t="s">
        <v>515</v>
      </c>
      <c r="D90" s="2271"/>
      <c r="E90" s="2271"/>
      <c r="F90" s="2272"/>
    </row>
    <row r="91" spans="2:6" ht="15" customHeight="1" thickBot="1" x14ac:dyDescent="0.3">
      <c r="B91" s="2278" t="s">
        <v>506</v>
      </c>
      <c r="C91" s="2279"/>
      <c r="D91" s="2279"/>
      <c r="E91" s="2279"/>
      <c r="F91" s="2280"/>
    </row>
    <row r="92" spans="2:6" ht="15" customHeight="1" thickBot="1" x14ac:dyDescent="0.3">
      <c r="B92" s="1555" t="s">
        <v>507</v>
      </c>
      <c r="C92" s="1556">
        <f>100/C93</f>
        <v>7.7579519006982151E-2</v>
      </c>
      <c r="D92" s="1556">
        <f>100/D93</f>
        <v>7.874015748031496E-2</v>
      </c>
      <c r="E92" s="1556">
        <f>100/E93</f>
        <v>0.08</v>
      </c>
      <c r="F92" s="1556">
        <f>100/F93</f>
        <v>8.1300813008130079E-2</v>
      </c>
    </row>
    <row r="93" spans="2:6" ht="15" customHeight="1" thickBot="1" x14ac:dyDescent="0.3">
      <c r="B93" s="1555" t="s">
        <v>508</v>
      </c>
      <c r="C93" s="1558">
        <v>1289</v>
      </c>
      <c r="D93" s="1558">
        <v>1270</v>
      </c>
      <c r="E93" s="1558">
        <v>1250</v>
      </c>
      <c r="F93" s="1558">
        <v>1230</v>
      </c>
    </row>
    <row r="94" spans="2:6" ht="15" customHeight="1" thickBot="1" x14ac:dyDescent="0.3">
      <c r="B94" s="1555" t="s">
        <v>509</v>
      </c>
      <c r="C94" s="1556">
        <f>C93/C95</f>
        <v>4.1575280608953685E-2</v>
      </c>
      <c r="D94" s="1556">
        <f>D93/D95</f>
        <v>4.0962456457231324E-2</v>
      </c>
      <c r="E94" s="1556">
        <f t="shared" ref="E94:F94" si="18">E93/E95</f>
        <v>4.0317378402786735E-2</v>
      </c>
      <c r="F94" s="1556">
        <f t="shared" si="18"/>
        <v>3.9672300348342147E-2</v>
      </c>
    </row>
    <row r="95" spans="2:6" ht="15" customHeight="1" thickBot="1" x14ac:dyDescent="0.3">
      <c r="B95" s="1555" t="s">
        <v>516</v>
      </c>
      <c r="C95" s="1560">
        <v>31004</v>
      </c>
      <c r="D95" s="1560">
        <v>31004</v>
      </c>
      <c r="E95" s="1560">
        <v>31004</v>
      </c>
      <c r="F95" s="1560">
        <v>31004</v>
      </c>
    </row>
    <row r="96" spans="2:6" ht="15" customHeight="1" thickBot="1" x14ac:dyDescent="0.3">
      <c r="B96" s="1555" t="s">
        <v>494</v>
      </c>
      <c r="C96" s="1557">
        <v>96</v>
      </c>
      <c r="D96" s="1557">
        <v>96</v>
      </c>
      <c r="E96" s="1557">
        <v>96</v>
      </c>
      <c r="F96" s="1557">
        <v>96</v>
      </c>
    </row>
    <row r="97" spans="2:6" ht="15" customHeight="1" thickBot="1" x14ac:dyDescent="0.3">
      <c r="B97" s="2233" t="s">
        <v>536</v>
      </c>
      <c r="C97" s="2234"/>
      <c r="D97" s="2234"/>
      <c r="E97" s="2234"/>
      <c r="F97" s="2235"/>
    </row>
    <row r="98" spans="2:6" ht="15" customHeight="1" thickBot="1" x14ac:dyDescent="0.3">
      <c r="B98" s="2233" t="s">
        <v>121</v>
      </c>
      <c r="C98" s="2234"/>
      <c r="D98" s="2234"/>
      <c r="E98" s="2234"/>
      <c r="F98" s="2235"/>
    </row>
    <row r="99" spans="2:6" ht="15" customHeight="1" thickBot="1" x14ac:dyDescent="0.3">
      <c r="B99" s="1573" t="s">
        <v>492</v>
      </c>
      <c r="C99" s="2230" t="s">
        <v>510</v>
      </c>
      <c r="D99" s="2231"/>
      <c r="E99" s="2231"/>
      <c r="F99" s="2232"/>
    </row>
    <row r="100" spans="2:6" ht="15" customHeight="1" thickBot="1" x14ac:dyDescent="0.3">
      <c r="B100" s="1563" t="s">
        <v>10</v>
      </c>
      <c r="C100" s="2230" t="s">
        <v>511</v>
      </c>
      <c r="D100" s="2231"/>
      <c r="E100" s="2231"/>
      <c r="F100" s="2232"/>
    </row>
    <row r="101" spans="2:6" ht="15" customHeight="1" thickBot="1" x14ac:dyDescent="0.3">
      <c r="B101" s="1563" t="s">
        <v>13</v>
      </c>
      <c r="C101" s="2217" t="s">
        <v>513</v>
      </c>
      <c r="D101" s="2218"/>
      <c r="E101" s="2218"/>
      <c r="F101" s="2219"/>
    </row>
    <row r="102" spans="2:6" ht="15" customHeight="1" x14ac:dyDescent="0.25">
      <c r="B102" s="2220"/>
      <c r="C102" s="1564">
        <v>2018</v>
      </c>
      <c r="D102" s="1564">
        <v>2019</v>
      </c>
      <c r="E102" s="1564">
        <v>2020</v>
      </c>
      <c r="F102" s="1564">
        <v>2021</v>
      </c>
    </row>
    <row r="103" spans="2:6" ht="15" customHeight="1" thickBot="1" x14ac:dyDescent="0.3">
      <c r="B103" s="2221"/>
      <c r="C103" s="1565" t="s">
        <v>6</v>
      </c>
      <c r="D103" s="1565" t="s">
        <v>7</v>
      </c>
      <c r="E103" s="1565" t="s">
        <v>7</v>
      </c>
      <c r="F103" s="1565" t="s">
        <v>7</v>
      </c>
    </row>
    <row r="104" spans="2:6" ht="15" customHeight="1" thickBot="1" x14ac:dyDescent="0.3">
      <c r="B104" s="1568" t="s">
        <v>9</v>
      </c>
      <c r="C104" s="1565">
        <v>100</v>
      </c>
      <c r="D104" s="1565">
        <v>100</v>
      </c>
      <c r="E104" s="1565">
        <v>100</v>
      </c>
      <c r="F104" s="1565">
        <v>100</v>
      </c>
    </row>
    <row r="105" spans="2:6" ht="15" customHeight="1" thickBot="1" x14ac:dyDescent="0.3">
      <c r="B105" s="1563" t="s">
        <v>14</v>
      </c>
      <c r="C105" s="1575">
        <v>10000</v>
      </c>
      <c r="D105" s="1575">
        <v>10000</v>
      </c>
      <c r="E105" s="1575">
        <v>10000</v>
      </c>
      <c r="F105" s="1575">
        <v>10000</v>
      </c>
    </row>
    <row r="106" spans="2:6" ht="15" customHeight="1" thickBot="1" x14ac:dyDescent="0.3">
      <c r="B106" s="1563" t="s">
        <v>23</v>
      </c>
      <c r="C106" s="1566">
        <v>660.63</v>
      </c>
      <c r="D106" s="1566">
        <v>660.63</v>
      </c>
      <c r="E106" s="1566">
        <v>660.63</v>
      </c>
      <c r="F106" s="1566">
        <v>660.63</v>
      </c>
    </row>
    <row r="107" spans="2:6" ht="15" customHeight="1" thickBot="1" x14ac:dyDescent="0.3">
      <c r="B107" s="1563" t="s">
        <v>15</v>
      </c>
      <c r="C107" s="1568" t="s">
        <v>21</v>
      </c>
      <c r="D107" s="1569">
        <f>D104/C104-1</f>
        <v>0</v>
      </c>
      <c r="E107" s="1569">
        <f t="shared" ref="E107:E109" si="19">E104/D104-1</f>
        <v>0</v>
      </c>
      <c r="F107" s="1569">
        <f t="shared" ref="F107:F109" si="20">F104/E104-1</f>
        <v>0</v>
      </c>
    </row>
    <row r="108" spans="2:6" ht="15" customHeight="1" thickBot="1" x14ac:dyDescent="0.3">
      <c r="B108" s="1563" t="s">
        <v>16</v>
      </c>
      <c r="C108" s="1568" t="s">
        <v>21</v>
      </c>
      <c r="D108" s="1569">
        <f>D105/C105-1</f>
        <v>0</v>
      </c>
      <c r="E108" s="1569">
        <f t="shared" si="19"/>
        <v>0</v>
      </c>
      <c r="F108" s="1569">
        <f t="shared" si="20"/>
        <v>0</v>
      </c>
    </row>
    <row r="109" spans="2:6" ht="15" customHeight="1" thickBot="1" x14ac:dyDescent="0.3">
      <c r="B109" s="1563" t="s">
        <v>17</v>
      </c>
      <c r="C109" s="1568" t="s">
        <v>21</v>
      </c>
      <c r="D109" s="1569">
        <f>D106/C106-1</f>
        <v>0</v>
      </c>
      <c r="E109" s="1569">
        <f t="shared" si="19"/>
        <v>0</v>
      </c>
      <c r="F109" s="1569">
        <f t="shared" si="20"/>
        <v>0</v>
      </c>
    </row>
    <row r="110" spans="2:6" ht="15" customHeight="1" thickBot="1" x14ac:dyDescent="0.3">
      <c r="B110" s="2222" t="s">
        <v>139</v>
      </c>
      <c r="C110" s="2223"/>
      <c r="D110" s="2223"/>
      <c r="E110" s="2223"/>
      <c r="F110" s="2224"/>
    </row>
    <row r="111" spans="2:6" ht="15" customHeight="1" x14ac:dyDescent="0.25">
      <c r="B111" s="2220"/>
      <c r="C111" s="1564">
        <v>2018</v>
      </c>
      <c r="D111" s="1564">
        <v>2019</v>
      </c>
      <c r="E111" s="1564">
        <v>2020</v>
      </c>
      <c r="F111" s="1564">
        <v>2021</v>
      </c>
    </row>
    <row r="112" spans="2:6" ht="15" customHeight="1" thickBot="1" x14ac:dyDescent="0.3">
      <c r="B112" s="2221"/>
      <c r="C112" s="1565" t="s">
        <v>6</v>
      </c>
      <c r="D112" s="1565" t="s">
        <v>7</v>
      </c>
      <c r="E112" s="1565" t="s">
        <v>7</v>
      </c>
      <c r="F112" s="1565" t="s">
        <v>7</v>
      </c>
    </row>
    <row r="113" spans="1:6" ht="15" customHeight="1" thickBot="1" x14ac:dyDescent="0.3">
      <c r="B113" s="1563" t="s">
        <v>0</v>
      </c>
      <c r="C113" s="1570">
        <v>0</v>
      </c>
      <c r="D113" s="1570">
        <v>0</v>
      </c>
      <c r="E113" s="1570">
        <v>0</v>
      </c>
      <c r="F113" s="1570">
        <v>0</v>
      </c>
    </row>
    <row r="114" spans="1:6" ht="15" customHeight="1" thickBot="1" x14ac:dyDescent="0.3">
      <c r="B114" s="1563" t="s">
        <v>49</v>
      </c>
      <c r="C114" s="1570">
        <v>0</v>
      </c>
      <c r="D114" s="1570">
        <v>0</v>
      </c>
      <c r="E114" s="1570">
        <v>0</v>
      </c>
      <c r="F114" s="1570">
        <v>0</v>
      </c>
    </row>
    <row r="115" spans="1:6" ht="15" customHeight="1" thickBot="1" x14ac:dyDescent="0.3">
      <c r="B115" s="1563" t="s">
        <v>1</v>
      </c>
      <c r="C115" s="1571">
        <v>10000</v>
      </c>
      <c r="D115" s="1571">
        <v>10000</v>
      </c>
      <c r="E115" s="1571">
        <v>10000</v>
      </c>
      <c r="F115" s="1571">
        <v>10000</v>
      </c>
    </row>
    <row r="116" spans="1:6" ht="15" customHeight="1" thickBot="1" x14ac:dyDescent="0.3">
      <c r="B116" s="1563" t="s">
        <v>2</v>
      </c>
      <c r="C116" s="1571">
        <v>0</v>
      </c>
      <c r="D116" s="1571">
        <v>0</v>
      </c>
      <c r="E116" s="1571">
        <v>0</v>
      </c>
      <c r="F116" s="1571">
        <v>0</v>
      </c>
    </row>
    <row r="117" spans="1:6" ht="15" customHeight="1" thickBot="1" x14ac:dyDescent="0.3">
      <c r="B117" s="1563" t="s">
        <v>28</v>
      </c>
      <c r="C117" s="1571">
        <v>0</v>
      </c>
      <c r="D117" s="1571">
        <v>0</v>
      </c>
      <c r="E117" s="1571">
        <v>0</v>
      </c>
      <c r="F117" s="1571">
        <v>0</v>
      </c>
    </row>
    <row r="118" spans="1:6" ht="15" customHeight="1" thickBot="1" x14ac:dyDescent="0.3">
      <c r="B118" s="1563" t="s">
        <v>30</v>
      </c>
      <c r="C118" s="1571">
        <v>0</v>
      </c>
      <c r="D118" s="1571">
        <v>0</v>
      </c>
      <c r="E118" s="1571">
        <v>0</v>
      </c>
      <c r="F118" s="1571">
        <v>0</v>
      </c>
    </row>
    <row r="119" spans="1:6" ht="15" customHeight="1" thickBot="1" x14ac:dyDescent="0.3">
      <c r="B119" s="1563" t="s">
        <v>3</v>
      </c>
      <c r="C119" s="1571">
        <v>0</v>
      </c>
      <c r="D119" s="1571">
        <v>0</v>
      </c>
      <c r="E119" s="1571">
        <v>0</v>
      </c>
      <c r="F119" s="1571">
        <v>0</v>
      </c>
    </row>
    <row r="120" spans="1:6" ht="15" customHeight="1" thickBot="1" x14ac:dyDescent="0.3">
      <c r="B120" s="1576" t="s">
        <v>71</v>
      </c>
      <c r="C120" s="1571">
        <f>C119+C118+C117+C116+C115+C114+C113</f>
        <v>10000</v>
      </c>
      <c r="D120" s="1571">
        <f>D119+D118+D117+D116+D115+D114+D113</f>
        <v>10000</v>
      </c>
      <c r="E120" s="1571">
        <f>E119+E118+E117+E116+E115+E114+E113</f>
        <v>10000</v>
      </c>
      <c r="F120" s="1571">
        <f>F119+F118+F117+F116+F115+F114+F113</f>
        <v>10000</v>
      </c>
    </row>
    <row r="121" spans="1:6" ht="15" customHeight="1" thickBot="1" x14ac:dyDescent="0.3">
      <c r="A121" s="1551">
        <v>4</v>
      </c>
      <c r="B121" s="1573" t="s">
        <v>70</v>
      </c>
      <c r="C121" s="1574">
        <f>C105-C120</f>
        <v>0</v>
      </c>
      <c r="D121" s="1574">
        <f t="shared" ref="D121" si="21">D105-D120</f>
        <v>0</v>
      </c>
      <c r="E121" s="1574">
        <f t="shared" ref="E121" si="22">E105-E120</f>
        <v>0</v>
      </c>
      <c r="F121" s="1574">
        <f t="shared" ref="F121" si="23">F105-F120</f>
        <v>0</v>
      </c>
    </row>
    <row r="122" spans="1:6" ht="81" customHeight="1" thickBot="1" x14ac:dyDescent="0.3">
      <c r="B122" s="309" t="s">
        <v>512</v>
      </c>
      <c r="C122" s="2270" t="s">
        <v>1181</v>
      </c>
      <c r="D122" s="2271"/>
      <c r="E122" s="2271"/>
      <c r="F122" s="2272"/>
    </row>
    <row r="123" spans="1:6" ht="15" customHeight="1" thickBot="1" x14ac:dyDescent="0.3">
      <c r="B123" s="2222" t="s">
        <v>537</v>
      </c>
      <c r="C123" s="2223"/>
      <c r="D123" s="2223"/>
      <c r="E123" s="2223"/>
      <c r="F123" s="2224"/>
    </row>
    <row r="124" spans="1:6" ht="15" customHeight="1" thickBot="1" x14ac:dyDescent="0.3">
      <c r="B124" s="1555" t="s">
        <v>522</v>
      </c>
      <c r="C124" s="1556">
        <f>C125/C126</f>
        <v>2.0739259450393496E-2</v>
      </c>
      <c r="D124" s="1556">
        <f t="shared" ref="D124:F124" si="24">D125/D126</f>
        <v>2.0739259450393496E-2</v>
      </c>
      <c r="E124" s="1556">
        <f t="shared" si="24"/>
        <v>2.0739259450393496E-2</v>
      </c>
      <c r="F124" s="1556">
        <f t="shared" si="24"/>
        <v>2.0739259450393496E-2</v>
      </c>
    </row>
    <row r="125" spans="1:6" ht="15" customHeight="1" thickBot="1" x14ac:dyDescent="0.3">
      <c r="B125" s="1555" t="s">
        <v>528</v>
      </c>
      <c r="C125" s="1557">
        <v>643</v>
      </c>
      <c r="D125" s="1557">
        <v>643</v>
      </c>
      <c r="E125" s="1557">
        <v>643</v>
      </c>
      <c r="F125" s="1557">
        <v>643</v>
      </c>
    </row>
    <row r="126" spans="1:6" ht="15" customHeight="1" thickBot="1" x14ac:dyDescent="0.3">
      <c r="B126" s="1555" t="s">
        <v>523</v>
      </c>
      <c r="C126" s="1560">
        <v>31004</v>
      </c>
      <c r="D126" s="1560">
        <v>31004</v>
      </c>
      <c r="E126" s="1560">
        <v>31004</v>
      </c>
      <c r="F126" s="1560">
        <v>31004</v>
      </c>
    </row>
    <row r="127" spans="1:6" ht="15" customHeight="1" thickBot="1" x14ac:dyDescent="0.3">
      <c r="B127" s="1555" t="s">
        <v>524</v>
      </c>
      <c r="C127" s="1556">
        <f>C128/C129</f>
        <v>2.0770234367104894E-2</v>
      </c>
      <c r="D127" s="1556">
        <f t="shared" ref="D127:F127" si="25">D128/D129</f>
        <v>2.0023435073329564E-2</v>
      </c>
      <c r="E127" s="1556">
        <f t="shared" si="25"/>
        <v>1.9441531765051107E-2</v>
      </c>
      <c r="F127" s="1556">
        <f t="shared" si="25"/>
        <v>1.9556304422689033E-2</v>
      </c>
    </row>
    <row r="128" spans="1:6" ht="15" customHeight="1" thickBot="1" x14ac:dyDescent="0.3">
      <c r="B128" s="1555" t="s">
        <v>525</v>
      </c>
      <c r="C128" s="1577">
        <v>797042</v>
      </c>
      <c r="D128" s="1577">
        <v>787042</v>
      </c>
      <c r="E128" s="1577">
        <v>795042</v>
      </c>
      <c r="F128" s="1577">
        <v>795042</v>
      </c>
    </row>
    <row r="129" spans="2:9" ht="15" customHeight="1" thickBot="1" x14ac:dyDescent="0.3">
      <c r="B129" s="1555" t="s">
        <v>529</v>
      </c>
      <c r="C129" s="1577">
        <v>38374242</v>
      </c>
      <c r="D129" s="1577">
        <v>39306043</v>
      </c>
      <c r="E129" s="1577">
        <v>40894000</v>
      </c>
      <c r="F129" s="1577">
        <v>40654000</v>
      </c>
    </row>
    <row r="130" spans="2:9" ht="15" customHeight="1" thickBot="1" x14ac:dyDescent="0.3">
      <c r="B130" s="2233" t="s">
        <v>535</v>
      </c>
      <c r="C130" s="2234"/>
      <c r="D130" s="2234"/>
      <c r="E130" s="2234"/>
      <c r="F130" s="2235"/>
    </row>
    <row r="131" spans="2:9" ht="15" customHeight="1" thickBot="1" x14ac:dyDescent="0.3">
      <c r="B131" s="2233" t="s">
        <v>538</v>
      </c>
      <c r="C131" s="2234"/>
      <c r="D131" s="2234"/>
      <c r="E131" s="2234"/>
      <c r="F131" s="2235"/>
    </row>
    <row r="132" spans="2:9" ht="15" customHeight="1" thickBot="1" x14ac:dyDescent="0.3">
      <c r="B132" s="1573" t="s">
        <v>492</v>
      </c>
      <c r="C132" s="2230" t="s">
        <v>533</v>
      </c>
      <c r="D132" s="2231"/>
      <c r="E132" s="2231"/>
      <c r="F132" s="2232"/>
    </row>
    <row r="133" spans="2:9" ht="15" customHeight="1" thickBot="1" x14ac:dyDescent="0.3">
      <c r="B133" s="1563" t="s">
        <v>10</v>
      </c>
      <c r="C133" s="2230" t="s">
        <v>532</v>
      </c>
      <c r="D133" s="2231"/>
      <c r="E133" s="2231"/>
      <c r="F133" s="2232"/>
    </row>
    <row r="134" spans="2:9" ht="15" customHeight="1" thickBot="1" x14ac:dyDescent="0.3">
      <c r="B134" s="1563" t="s">
        <v>13</v>
      </c>
      <c r="C134" s="2217" t="s">
        <v>530</v>
      </c>
      <c r="D134" s="2218"/>
      <c r="E134" s="2218"/>
      <c r="F134" s="2219"/>
    </row>
    <row r="135" spans="2:9" ht="15" customHeight="1" x14ac:dyDescent="0.25">
      <c r="B135" s="2220"/>
      <c r="C135" s="1564">
        <v>2018</v>
      </c>
      <c r="D135" s="1564">
        <v>2019</v>
      </c>
      <c r="E135" s="1564">
        <v>2020</v>
      </c>
      <c r="F135" s="1564">
        <v>2021</v>
      </c>
    </row>
    <row r="136" spans="2:9" ht="15" customHeight="1" thickBot="1" x14ac:dyDescent="0.3">
      <c r="B136" s="2221"/>
      <c r="C136" s="1565" t="s">
        <v>6</v>
      </c>
      <c r="D136" s="1565" t="s">
        <v>7</v>
      </c>
      <c r="E136" s="1565" t="s">
        <v>7</v>
      </c>
      <c r="F136" s="1565" t="s">
        <v>7</v>
      </c>
    </row>
    <row r="137" spans="2:9" ht="15" customHeight="1" thickBot="1" x14ac:dyDescent="0.3">
      <c r="B137" s="1568" t="s">
        <v>9</v>
      </c>
      <c r="C137" s="1578">
        <v>643</v>
      </c>
      <c r="D137" s="1557">
        <v>643</v>
      </c>
      <c r="E137" s="1557">
        <v>643</v>
      </c>
      <c r="F137" s="1557">
        <v>643</v>
      </c>
    </row>
    <row r="138" spans="2:9" ht="15" customHeight="1" thickBot="1" x14ac:dyDescent="0.3">
      <c r="B138" s="1563" t="s">
        <v>14</v>
      </c>
      <c r="C138" s="1579">
        <v>86067</v>
      </c>
      <c r="D138" s="1575">
        <v>95067.1</v>
      </c>
      <c r="E138" s="1575">
        <v>100067</v>
      </c>
      <c r="F138" s="1575">
        <v>99067</v>
      </c>
      <c r="G138" s="1567"/>
      <c r="H138" s="1567"/>
      <c r="I138" s="1567"/>
    </row>
    <row r="139" spans="2:9" ht="15" customHeight="1" thickBot="1" x14ac:dyDescent="0.3">
      <c r="B139" s="1563" t="s">
        <v>23</v>
      </c>
      <c r="C139" s="1566">
        <f>C138/C137</f>
        <v>133.85225505443236</v>
      </c>
      <c r="D139" s="1566">
        <f t="shared" ref="D139:F139" si="26">D138/D137</f>
        <v>147.84930015552101</v>
      </c>
      <c r="E139" s="1566">
        <f t="shared" si="26"/>
        <v>155.62519440124416</v>
      </c>
      <c r="F139" s="1566">
        <f t="shared" si="26"/>
        <v>154.06998444790045</v>
      </c>
    </row>
    <row r="140" spans="2:9" ht="15" customHeight="1" thickBot="1" x14ac:dyDescent="0.3">
      <c r="B140" s="1563" t="s">
        <v>15</v>
      </c>
      <c r="C140" s="1568" t="s">
        <v>21</v>
      </c>
      <c r="D140" s="1569">
        <f>D137/C137-1</f>
        <v>0</v>
      </c>
      <c r="E140" s="1569">
        <f t="shared" ref="E140:E142" si="27">E137/D137-1</f>
        <v>0</v>
      </c>
      <c r="F140" s="1569">
        <f t="shared" ref="F140:F142" si="28">F137/E137-1</f>
        <v>0</v>
      </c>
    </row>
    <row r="141" spans="2:9" ht="15" customHeight="1" thickBot="1" x14ac:dyDescent="0.3">
      <c r="B141" s="1563" t="s">
        <v>16</v>
      </c>
      <c r="C141" s="1568" t="s">
        <v>21</v>
      </c>
      <c r="D141" s="1569">
        <f>D138/C138-1</f>
        <v>0.10457085758769336</v>
      </c>
      <c r="E141" s="1569">
        <f t="shared" si="27"/>
        <v>5.259337878193393E-2</v>
      </c>
      <c r="F141" s="1569">
        <f t="shared" si="28"/>
        <v>-9.9933044859943365E-3</v>
      </c>
    </row>
    <row r="142" spans="2:9" ht="15" customHeight="1" thickBot="1" x14ac:dyDescent="0.3">
      <c r="B142" s="1563" t="s">
        <v>17</v>
      </c>
      <c r="C142" s="1568" t="s">
        <v>21</v>
      </c>
      <c r="D142" s="1569">
        <f>D139/C139-1</f>
        <v>0.10457085758769336</v>
      </c>
      <c r="E142" s="1569">
        <f t="shared" si="27"/>
        <v>5.259337878193393E-2</v>
      </c>
      <c r="F142" s="1569">
        <f t="shared" si="28"/>
        <v>-9.9933044859944475E-3</v>
      </c>
    </row>
    <row r="143" spans="2:9" ht="15" customHeight="1" thickBot="1" x14ac:dyDescent="0.3">
      <c r="B143" s="2222" t="s">
        <v>139</v>
      </c>
      <c r="C143" s="2223"/>
      <c r="D143" s="2223"/>
      <c r="E143" s="2223"/>
      <c r="F143" s="2224"/>
    </row>
    <row r="144" spans="2:9" ht="15" customHeight="1" x14ac:dyDescent="0.25">
      <c r="B144" s="2220"/>
      <c r="C144" s="1564">
        <v>2018</v>
      </c>
      <c r="D144" s="1564">
        <v>2019</v>
      </c>
      <c r="E144" s="1564">
        <v>2020</v>
      </c>
      <c r="F144" s="1564">
        <v>2021</v>
      </c>
    </row>
    <row r="145" spans="2:6" ht="15" customHeight="1" thickBot="1" x14ac:dyDescent="0.3">
      <c r="B145" s="2221"/>
      <c r="C145" s="1565" t="s">
        <v>6</v>
      </c>
      <c r="D145" s="1565" t="s">
        <v>7</v>
      </c>
      <c r="E145" s="1565" t="s">
        <v>7</v>
      </c>
      <c r="F145" s="1565" t="s">
        <v>7</v>
      </c>
    </row>
    <row r="146" spans="2:6" ht="15" customHeight="1" thickBot="1" x14ac:dyDescent="0.3">
      <c r="B146" s="1563" t="s">
        <v>0</v>
      </c>
      <c r="C146" s="1570">
        <v>0</v>
      </c>
      <c r="D146" s="1570">
        <v>0</v>
      </c>
      <c r="E146" s="1570">
        <v>0</v>
      </c>
      <c r="F146" s="1570">
        <v>0</v>
      </c>
    </row>
    <row r="147" spans="2:6" ht="15" customHeight="1" thickBot="1" x14ac:dyDescent="0.3">
      <c r="B147" s="1563" t="s">
        <v>49</v>
      </c>
      <c r="C147" s="1570">
        <v>0</v>
      </c>
      <c r="D147" s="1570">
        <v>0</v>
      </c>
      <c r="E147" s="1570">
        <v>0</v>
      </c>
      <c r="F147" s="1570">
        <v>0</v>
      </c>
    </row>
    <row r="148" spans="2:6" ht="15" customHeight="1" thickBot="1" x14ac:dyDescent="0.3">
      <c r="B148" s="1563" t="s">
        <v>1</v>
      </c>
      <c r="C148" s="1571">
        <f>C138-C152</f>
        <v>86067</v>
      </c>
      <c r="D148" s="1571">
        <f t="shared" ref="D148:F148" si="29">D138-D152</f>
        <v>95067.1</v>
      </c>
      <c r="E148" s="1571">
        <f t="shared" si="29"/>
        <v>100067</v>
      </c>
      <c r="F148" s="1571">
        <f t="shared" si="29"/>
        <v>99067</v>
      </c>
    </row>
    <row r="149" spans="2:6" ht="15" customHeight="1" thickBot="1" x14ac:dyDescent="0.3">
      <c r="B149" s="1563" t="s">
        <v>2</v>
      </c>
      <c r="C149" s="1571">
        <v>0</v>
      </c>
      <c r="D149" s="1571">
        <v>0</v>
      </c>
      <c r="E149" s="1571">
        <v>0</v>
      </c>
      <c r="F149" s="1571">
        <v>0</v>
      </c>
    </row>
    <row r="150" spans="2:6" ht="15" customHeight="1" thickBot="1" x14ac:dyDescent="0.3">
      <c r="B150" s="1563" t="s">
        <v>28</v>
      </c>
      <c r="C150" s="1571">
        <v>0</v>
      </c>
      <c r="D150" s="1571">
        <v>0</v>
      </c>
      <c r="E150" s="1571">
        <v>0</v>
      </c>
      <c r="F150" s="1571">
        <v>0</v>
      </c>
    </row>
    <row r="151" spans="2:6" ht="15" customHeight="1" thickBot="1" x14ac:dyDescent="0.3">
      <c r="B151" s="1563" t="s">
        <v>30</v>
      </c>
      <c r="C151" s="1571">
        <v>0</v>
      </c>
      <c r="D151" s="1571">
        <v>0</v>
      </c>
      <c r="E151" s="1571">
        <v>0</v>
      </c>
      <c r="F151" s="1571">
        <v>0</v>
      </c>
    </row>
    <row r="152" spans="2:6" ht="15" customHeight="1" thickBot="1" x14ac:dyDescent="0.3">
      <c r="B152" s="1563" t="s">
        <v>3</v>
      </c>
      <c r="C152" s="1571"/>
      <c r="D152" s="1571"/>
      <c r="E152" s="1571"/>
      <c r="F152" s="1571"/>
    </row>
    <row r="153" spans="2:6" ht="15" customHeight="1" thickBot="1" x14ac:dyDescent="0.3">
      <c r="B153" s="1576" t="s">
        <v>71</v>
      </c>
      <c r="C153" s="1571">
        <f>C152+C151+C150+C149+C148+C147+C146</f>
        <v>86067</v>
      </c>
      <c r="D153" s="1571">
        <f>D152+D151+D150+D149+D148+D147+D146</f>
        <v>95067.1</v>
      </c>
      <c r="E153" s="1571">
        <f>E152+E151+E150+E149+E148+E147+E146</f>
        <v>100067</v>
      </c>
      <c r="F153" s="1571">
        <f>F152+F151+F150+F149+F148+F147+F146</f>
        <v>99067</v>
      </c>
    </row>
    <row r="154" spans="2:6" ht="15" customHeight="1" thickBot="1" x14ac:dyDescent="0.3">
      <c r="B154" s="1573" t="s">
        <v>70</v>
      </c>
      <c r="C154" s="1574">
        <f>C138-C153</f>
        <v>0</v>
      </c>
      <c r="D154" s="1574">
        <f t="shared" ref="D154:F154" si="30">D138-D153</f>
        <v>0</v>
      </c>
      <c r="E154" s="1574">
        <f t="shared" si="30"/>
        <v>0</v>
      </c>
      <c r="F154" s="1574">
        <f t="shared" si="30"/>
        <v>0</v>
      </c>
    </row>
    <row r="155" spans="2:6" ht="15" customHeight="1" thickBot="1" x14ac:dyDescent="0.3">
      <c r="B155" s="2233" t="s">
        <v>535</v>
      </c>
      <c r="C155" s="2234"/>
      <c r="D155" s="2234"/>
      <c r="E155" s="2234"/>
      <c r="F155" s="2235"/>
    </row>
    <row r="156" spans="2:6" ht="15" customHeight="1" thickBot="1" x14ac:dyDescent="0.3">
      <c r="B156" s="2233" t="s">
        <v>121</v>
      </c>
      <c r="C156" s="2234"/>
      <c r="D156" s="2234"/>
      <c r="E156" s="2234"/>
      <c r="F156" s="2235"/>
    </row>
    <row r="157" spans="2:6" ht="40.5" customHeight="1" thickBot="1" x14ac:dyDescent="0.3">
      <c r="B157" s="1573" t="s">
        <v>492</v>
      </c>
      <c r="C157" s="2230" t="s">
        <v>531</v>
      </c>
      <c r="D157" s="2231"/>
      <c r="E157" s="2231"/>
      <c r="F157" s="2232"/>
    </row>
    <row r="158" spans="2:6" ht="63.75" customHeight="1" thickBot="1" x14ac:dyDescent="0.3">
      <c r="B158" s="1563" t="s">
        <v>10</v>
      </c>
      <c r="C158" s="2230" t="s">
        <v>539</v>
      </c>
      <c r="D158" s="2231"/>
      <c r="E158" s="2231"/>
      <c r="F158" s="2232"/>
    </row>
    <row r="159" spans="2:6" ht="15" customHeight="1" thickBot="1" x14ac:dyDescent="0.3">
      <c r="B159" s="1563" t="s">
        <v>13</v>
      </c>
      <c r="C159" s="2217" t="s">
        <v>530</v>
      </c>
      <c r="D159" s="2218"/>
      <c r="E159" s="2218"/>
      <c r="F159" s="2219"/>
    </row>
    <row r="160" spans="2:6" ht="15" customHeight="1" x14ac:dyDescent="0.25">
      <c r="B160" s="2220"/>
      <c r="C160" s="1564">
        <v>2018</v>
      </c>
      <c r="D160" s="1564">
        <v>2019</v>
      </c>
      <c r="E160" s="1564">
        <v>2020</v>
      </c>
      <c r="F160" s="1564">
        <v>2021</v>
      </c>
    </row>
    <row r="161" spans="2:9" ht="15" customHeight="1" thickBot="1" x14ac:dyDescent="0.3">
      <c r="B161" s="2221"/>
      <c r="C161" s="1565" t="s">
        <v>6</v>
      </c>
      <c r="D161" s="1565" t="s">
        <v>7</v>
      </c>
      <c r="E161" s="1565" t="s">
        <v>7</v>
      </c>
      <c r="F161" s="1565" t="s">
        <v>7</v>
      </c>
    </row>
    <row r="162" spans="2:9" ht="15" customHeight="1" thickBot="1" x14ac:dyDescent="0.3">
      <c r="B162" s="1568" t="s">
        <v>9</v>
      </c>
      <c r="C162" s="1557">
        <v>643</v>
      </c>
      <c r="D162" s="1557">
        <v>643</v>
      </c>
      <c r="E162" s="1557">
        <v>643</v>
      </c>
      <c r="F162" s="1557">
        <v>643</v>
      </c>
    </row>
    <row r="163" spans="2:9" ht="15" customHeight="1" thickBot="1" x14ac:dyDescent="0.3">
      <c r="B163" s="1563" t="s">
        <v>14</v>
      </c>
      <c r="C163" s="1575">
        <v>566125</v>
      </c>
      <c r="D163" s="1575">
        <v>566125</v>
      </c>
      <c r="E163" s="1575">
        <v>566125</v>
      </c>
      <c r="F163" s="1575">
        <v>566125</v>
      </c>
      <c r="G163" s="1580"/>
      <c r="H163" s="1580"/>
      <c r="I163" s="1580"/>
    </row>
    <row r="164" spans="2:9" ht="15" customHeight="1" thickBot="1" x14ac:dyDescent="0.3">
      <c r="B164" s="1563" t="s">
        <v>23</v>
      </c>
      <c r="C164" s="1566">
        <f>C163/C162</f>
        <v>880.44323483670291</v>
      </c>
      <c r="D164" s="1566">
        <f t="shared" ref="D164" si="31">D163/D162</f>
        <v>880.44323483670291</v>
      </c>
      <c r="E164" s="1566">
        <f t="shared" ref="E164" si="32">E163/E162</f>
        <v>880.44323483670291</v>
      </c>
      <c r="F164" s="1566">
        <f t="shared" ref="F164" si="33">F163/F162</f>
        <v>880.44323483670291</v>
      </c>
    </row>
    <row r="165" spans="2:9" ht="15" customHeight="1" thickBot="1" x14ac:dyDescent="0.3">
      <c r="B165" s="1563" t="s">
        <v>15</v>
      </c>
      <c r="C165" s="1568" t="s">
        <v>21</v>
      </c>
      <c r="D165" s="1569">
        <f>D162/C162-1</f>
        <v>0</v>
      </c>
      <c r="E165" s="1569">
        <f t="shared" ref="E165:E167" si="34">E162/D162-1</f>
        <v>0</v>
      </c>
      <c r="F165" s="1569">
        <f t="shared" ref="F165:F167" si="35">F162/E162-1</f>
        <v>0</v>
      </c>
    </row>
    <row r="166" spans="2:9" ht="15" customHeight="1" thickBot="1" x14ac:dyDescent="0.3">
      <c r="B166" s="1563" t="s">
        <v>16</v>
      </c>
      <c r="C166" s="1568" t="s">
        <v>21</v>
      </c>
      <c r="D166" s="1569">
        <f>D163/C163-1</f>
        <v>0</v>
      </c>
      <c r="E166" s="1569">
        <f t="shared" si="34"/>
        <v>0</v>
      </c>
      <c r="F166" s="1569">
        <f t="shared" si="35"/>
        <v>0</v>
      </c>
    </row>
    <row r="167" spans="2:9" ht="15" customHeight="1" thickBot="1" x14ac:dyDescent="0.3">
      <c r="B167" s="1563" t="s">
        <v>17</v>
      </c>
      <c r="C167" s="1568" t="s">
        <v>21</v>
      </c>
      <c r="D167" s="1569">
        <f>D164/C164-1</f>
        <v>0</v>
      </c>
      <c r="E167" s="1569">
        <f t="shared" si="34"/>
        <v>0</v>
      </c>
      <c r="F167" s="1569">
        <f t="shared" si="35"/>
        <v>0</v>
      </c>
    </row>
    <row r="168" spans="2:9" ht="15" customHeight="1" thickBot="1" x14ac:dyDescent="0.3">
      <c r="B168" s="2222" t="s">
        <v>139</v>
      </c>
      <c r="C168" s="2223"/>
      <c r="D168" s="2223"/>
      <c r="E168" s="2223"/>
      <c r="F168" s="2224"/>
    </row>
    <row r="169" spans="2:9" ht="15" customHeight="1" x14ac:dyDescent="0.25">
      <c r="B169" s="2220"/>
      <c r="C169" s="1564">
        <v>2018</v>
      </c>
      <c r="D169" s="1564">
        <v>2019</v>
      </c>
      <c r="E169" s="1564">
        <v>2020</v>
      </c>
      <c r="F169" s="1564">
        <v>2021</v>
      </c>
    </row>
    <row r="170" spans="2:9" ht="15" customHeight="1" thickBot="1" x14ac:dyDescent="0.3">
      <c r="B170" s="2221"/>
      <c r="C170" s="1565" t="s">
        <v>6</v>
      </c>
      <c r="D170" s="1565" t="s">
        <v>7</v>
      </c>
      <c r="E170" s="1565" t="s">
        <v>7</v>
      </c>
      <c r="F170" s="1565" t="s">
        <v>7</v>
      </c>
    </row>
    <row r="171" spans="2:9" ht="15" customHeight="1" thickBot="1" x14ac:dyDescent="0.3">
      <c r="B171" s="1563" t="s">
        <v>0</v>
      </c>
      <c r="C171" s="1570">
        <v>476366</v>
      </c>
      <c r="D171" s="1570">
        <v>476366</v>
      </c>
      <c r="E171" s="1570">
        <v>476366</v>
      </c>
      <c r="F171" s="1570">
        <v>476366</v>
      </c>
    </row>
    <row r="172" spans="2:9" ht="15" customHeight="1" thickBot="1" x14ac:dyDescent="0.3">
      <c r="B172" s="1563" t="s">
        <v>49</v>
      </c>
      <c r="C172" s="1570">
        <v>89359.2</v>
      </c>
      <c r="D172" s="1570">
        <v>89359.2</v>
      </c>
      <c r="E172" s="1570">
        <v>89359.2</v>
      </c>
      <c r="F172" s="1570">
        <v>89359.2</v>
      </c>
    </row>
    <row r="173" spans="2:9" ht="15" customHeight="1" thickBot="1" x14ac:dyDescent="0.3">
      <c r="B173" s="1563" t="s">
        <v>1</v>
      </c>
      <c r="C173" s="1571"/>
      <c r="D173" s="1571"/>
      <c r="E173" s="1571"/>
      <c r="F173" s="1571"/>
    </row>
    <row r="174" spans="2:9" ht="15" customHeight="1" thickBot="1" x14ac:dyDescent="0.3">
      <c r="B174" s="1563" t="s">
        <v>2</v>
      </c>
      <c r="C174" s="1571">
        <v>0</v>
      </c>
      <c r="D174" s="1571">
        <v>0</v>
      </c>
      <c r="E174" s="1571">
        <v>0</v>
      </c>
      <c r="F174" s="1571">
        <v>0</v>
      </c>
    </row>
    <row r="175" spans="2:9" ht="15" customHeight="1" thickBot="1" x14ac:dyDescent="0.3">
      <c r="B175" s="1563" t="s">
        <v>28</v>
      </c>
      <c r="C175" s="1571">
        <v>0</v>
      </c>
      <c r="D175" s="1571">
        <v>0</v>
      </c>
      <c r="E175" s="1571">
        <v>0</v>
      </c>
      <c r="F175" s="1571">
        <v>0</v>
      </c>
    </row>
    <row r="176" spans="2:9" ht="15" customHeight="1" thickBot="1" x14ac:dyDescent="0.3">
      <c r="B176" s="1563" t="s">
        <v>30</v>
      </c>
      <c r="C176" s="1571">
        <v>0</v>
      </c>
      <c r="D176" s="1571">
        <v>0</v>
      </c>
      <c r="E176" s="1571">
        <v>0</v>
      </c>
      <c r="F176" s="1571">
        <v>0</v>
      </c>
    </row>
    <row r="177" spans="2:10" ht="15" customHeight="1" thickBot="1" x14ac:dyDescent="0.3">
      <c r="B177" s="1563" t="s">
        <v>3</v>
      </c>
      <c r="C177" s="1571">
        <v>400</v>
      </c>
      <c r="D177" s="1571">
        <v>400</v>
      </c>
      <c r="E177" s="1571">
        <v>400</v>
      </c>
      <c r="F177" s="1571">
        <v>400</v>
      </c>
    </row>
    <row r="178" spans="2:10" ht="15" customHeight="1" thickBot="1" x14ac:dyDescent="0.3">
      <c r="B178" s="1576" t="s">
        <v>71</v>
      </c>
      <c r="C178" s="1571">
        <f>C177+C176+C175+C174+C173+C172+C171</f>
        <v>566125.19999999995</v>
      </c>
      <c r="D178" s="1571">
        <f t="shared" ref="D178:F178" si="36">D177+D176+D175+D174+D173+D172+D171</f>
        <v>566125.19999999995</v>
      </c>
      <c r="E178" s="1571">
        <f t="shared" si="36"/>
        <v>566125.19999999995</v>
      </c>
      <c r="F178" s="1571">
        <f t="shared" si="36"/>
        <v>566125.19999999995</v>
      </c>
    </row>
    <row r="179" spans="2:10" ht="15" customHeight="1" thickBot="1" x14ac:dyDescent="0.3">
      <c r="B179" s="1573" t="s">
        <v>70</v>
      </c>
      <c r="C179" s="1574">
        <f>C163-C178</f>
        <v>-0.19999999995343387</v>
      </c>
      <c r="D179" s="1574">
        <f t="shared" ref="D179" si="37">D163-D178</f>
        <v>-0.19999999995343387</v>
      </c>
      <c r="E179" s="1574">
        <f t="shared" ref="E179" si="38">E163-E178</f>
        <v>-0.19999999995343387</v>
      </c>
      <c r="F179" s="1574">
        <f t="shared" ref="F179" si="39">F163-F178</f>
        <v>-0.19999999995343387</v>
      </c>
    </row>
    <row r="180" spans="2:10" ht="15" customHeight="1" thickBot="1" x14ac:dyDescent="0.3">
      <c r="B180" s="1573"/>
      <c r="C180" s="1581"/>
      <c r="D180" s="1581"/>
      <c r="E180" s="1581"/>
      <c r="F180" s="1574"/>
    </row>
    <row r="181" spans="2:10" ht="15" customHeight="1" thickBot="1" x14ac:dyDescent="0.3">
      <c r="B181" s="1573"/>
      <c r="C181" s="1581"/>
      <c r="D181" s="1581"/>
      <c r="E181" s="1581"/>
      <c r="F181" s="1574"/>
    </row>
    <row r="182" spans="2:10" ht="15" customHeight="1" thickBot="1" x14ac:dyDescent="0.3">
      <c r="B182" s="1582"/>
      <c r="C182" s="2249" t="s">
        <v>46</v>
      </c>
      <c r="D182" s="2250"/>
      <c r="E182" s="2250"/>
      <c r="F182" s="2251"/>
    </row>
    <row r="183" spans="2:10" ht="15" customHeight="1" thickBot="1" x14ac:dyDescent="0.3">
      <c r="B183" s="1582" t="s">
        <v>47</v>
      </c>
      <c r="C183" s="1583"/>
      <c r="D183" s="1584"/>
      <c r="E183" s="1584"/>
      <c r="F183" s="1585"/>
    </row>
    <row r="184" spans="2:10" ht="28.5" customHeight="1" thickBot="1" x14ac:dyDescent="0.3">
      <c r="B184" s="1586" t="s">
        <v>540</v>
      </c>
      <c r="C184" s="2230" t="s">
        <v>542</v>
      </c>
      <c r="D184" s="2231"/>
      <c r="E184" s="2231"/>
      <c r="F184" s="2232"/>
    </row>
    <row r="185" spans="2:10" ht="35.25" customHeight="1" thickBot="1" x14ac:dyDescent="0.3">
      <c r="B185" s="1563" t="s">
        <v>10</v>
      </c>
      <c r="C185" s="2230" t="s">
        <v>541</v>
      </c>
      <c r="D185" s="2231"/>
      <c r="E185" s="2231"/>
      <c r="F185" s="2232"/>
    </row>
    <row r="186" spans="2:10" ht="15" customHeight="1" thickBot="1" x14ac:dyDescent="0.3">
      <c r="B186" s="1563" t="s">
        <v>13</v>
      </c>
      <c r="C186" s="2233" t="s">
        <v>548</v>
      </c>
      <c r="D186" s="2234"/>
      <c r="E186" s="2234"/>
      <c r="F186" s="2235"/>
    </row>
    <row r="187" spans="2:10" ht="15" customHeight="1" x14ac:dyDescent="0.25">
      <c r="B187" s="2220"/>
      <c r="C187" s="1564">
        <v>2018</v>
      </c>
      <c r="D187" s="1564">
        <v>2019</v>
      </c>
      <c r="E187" s="1564">
        <v>2020</v>
      </c>
      <c r="F187" s="1564">
        <v>2021</v>
      </c>
    </row>
    <row r="188" spans="2:10" ht="15" customHeight="1" thickBot="1" x14ac:dyDescent="0.3">
      <c r="B188" s="2221"/>
      <c r="C188" s="1565" t="s">
        <v>6</v>
      </c>
      <c r="D188" s="1565" t="s">
        <v>7</v>
      </c>
      <c r="E188" s="1565" t="s">
        <v>7</v>
      </c>
      <c r="F188" s="1565" t="s">
        <v>7</v>
      </c>
    </row>
    <row r="189" spans="2:10" ht="15" customHeight="1" thickBot="1" x14ac:dyDescent="0.3">
      <c r="B189" s="1563" t="s">
        <v>9</v>
      </c>
      <c r="C189" s="1570">
        <v>40</v>
      </c>
      <c r="D189" s="1570">
        <v>25</v>
      </c>
      <c r="E189" s="1570">
        <v>26</v>
      </c>
      <c r="F189" s="1570">
        <v>26</v>
      </c>
    </row>
    <row r="190" spans="2:10" ht="15" customHeight="1" thickBot="1" x14ac:dyDescent="0.3">
      <c r="B190" s="1563" t="s">
        <v>14</v>
      </c>
      <c r="C190" s="1570">
        <v>63243</v>
      </c>
      <c r="D190" s="1570">
        <v>40500</v>
      </c>
      <c r="E190" s="1570">
        <v>43500</v>
      </c>
      <c r="F190" s="1570">
        <v>43500</v>
      </c>
    </row>
    <row r="191" spans="2:10" ht="15" customHeight="1" thickBot="1" x14ac:dyDescent="0.3">
      <c r="B191" s="1563" t="s">
        <v>23</v>
      </c>
      <c r="C191" s="1566">
        <f>C190/C189</f>
        <v>1581.075</v>
      </c>
      <c r="D191" s="1566">
        <f t="shared" ref="D191:F191" si="40">D190/D189</f>
        <v>1620</v>
      </c>
      <c r="E191" s="1566">
        <f t="shared" si="40"/>
        <v>1673.0769230769231</v>
      </c>
      <c r="F191" s="1566">
        <f t="shared" si="40"/>
        <v>1673.0769230769231</v>
      </c>
      <c r="G191" s="1567"/>
      <c r="H191" s="1567"/>
      <c r="I191" s="1567"/>
      <c r="J191" s="1567"/>
    </row>
    <row r="192" spans="2:10" ht="15" customHeight="1" thickBot="1" x14ac:dyDescent="0.3">
      <c r="B192" s="1563" t="s">
        <v>15</v>
      </c>
      <c r="C192" s="1568" t="s">
        <v>21</v>
      </c>
      <c r="D192" s="1569">
        <f>D189/C189-1</f>
        <v>-0.375</v>
      </c>
      <c r="E192" s="1569">
        <f t="shared" ref="E192:F194" si="41">E189/D189-1</f>
        <v>4.0000000000000036E-2</v>
      </c>
      <c r="F192" s="1569">
        <f t="shared" si="41"/>
        <v>0</v>
      </c>
    </row>
    <row r="193" spans="2:6" ht="15" customHeight="1" thickBot="1" x14ac:dyDescent="0.3">
      <c r="B193" s="1563" t="s">
        <v>16</v>
      </c>
      <c r="C193" s="1568" t="s">
        <v>21</v>
      </c>
      <c r="D193" s="1569">
        <f>D190/C190-1</f>
        <v>-0.35961292158815994</v>
      </c>
      <c r="E193" s="1569">
        <f t="shared" si="41"/>
        <v>7.4074074074074181E-2</v>
      </c>
      <c r="F193" s="1569">
        <f t="shared" si="41"/>
        <v>0</v>
      </c>
    </row>
    <row r="194" spans="2:6" ht="15" customHeight="1" thickBot="1" x14ac:dyDescent="0.3">
      <c r="B194" s="1563" t="s">
        <v>17</v>
      </c>
      <c r="C194" s="1568" t="s">
        <v>21</v>
      </c>
      <c r="D194" s="1569">
        <f>D191/C191-1</f>
        <v>2.4619325458943964E-2</v>
      </c>
      <c r="E194" s="1569">
        <f t="shared" si="41"/>
        <v>3.2763532763532721E-2</v>
      </c>
      <c r="F194" s="1569">
        <f t="shared" si="41"/>
        <v>0</v>
      </c>
    </row>
    <row r="195" spans="2:6" ht="15" customHeight="1" thickBot="1" x14ac:dyDescent="0.3">
      <c r="B195" s="2222" t="s">
        <v>140</v>
      </c>
      <c r="C195" s="2223"/>
      <c r="D195" s="2223"/>
      <c r="E195" s="2223"/>
      <c r="F195" s="2224"/>
    </row>
    <row r="196" spans="2:6" ht="15" customHeight="1" x14ac:dyDescent="0.25">
      <c r="B196" s="2220"/>
      <c r="C196" s="1564">
        <v>2018</v>
      </c>
      <c r="D196" s="1564">
        <v>2019</v>
      </c>
      <c r="E196" s="1564">
        <v>2020</v>
      </c>
      <c r="F196" s="1564">
        <v>2021</v>
      </c>
    </row>
    <row r="197" spans="2:6" ht="15" customHeight="1" thickBot="1" x14ac:dyDescent="0.3">
      <c r="B197" s="2221"/>
      <c r="C197" s="1565" t="s">
        <v>6</v>
      </c>
      <c r="D197" s="1565" t="s">
        <v>7</v>
      </c>
      <c r="E197" s="1565" t="s">
        <v>7</v>
      </c>
      <c r="F197" s="1565" t="s">
        <v>7</v>
      </c>
    </row>
    <row r="198" spans="2:6" ht="15" customHeight="1" thickBot="1" x14ac:dyDescent="0.3">
      <c r="B198" s="1563" t="s">
        <v>104</v>
      </c>
      <c r="C198" s="1570"/>
      <c r="D198" s="1570"/>
      <c r="E198" s="1570"/>
      <c r="F198" s="1570"/>
    </row>
    <row r="199" spans="2:6" ht="15" customHeight="1" thickBot="1" x14ac:dyDescent="0.3">
      <c r="B199" s="1563" t="s">
        <v>105</v>
      </c>
      <c r="C199" s="1571">
        <f>C190</f>
        <v>63243</v>
      </c>
      <c r="D199" s="1571">
        <f>D190</f>
        <v>40500</v>
      </c>
      <c r="E199" s="1571">
        <f t="shared" ref="E199:F199" si="42">E190</f>
        <v>43500</v>
      </c>
      <c r="F199" s="1571">
        <f t="shared" si="42"/>
        <v>43500</v>
      </c>
    </row>
    <row r="200" spans="2:6" ht="15" customHeight="1" thickBot="1" x14ac:dyDescent="0.3">
      <c r="B200" s="1587" t="s">
        <v>71</v>
      </c>
      <c r="C200" s="1571">
        <f>C199+C198</f>
        <v>63243</v>
      </c>
      <c r="D200" s="1571">
        <f t="shared" ref="D200:F200" si="43">D199+D198</f>
        <v>40500</v>
      </c>
      <c r="E200" s="1571">
        <f t="shared" si="43"/>
        <v>43500</v>
      </c>
      <c r="F200" s="1571">
        <f t="shared" si="43"/>
        <v>43500</v>
      </c>
    </row>
    <row r="201" spans="2:6" ht="15" customHeight="1" thickBot="1" x14ac:dyDescent="0.3">
      <c r="B201" s="2233" t="s">
        <v>100</v>
      </c>
      <c r="C201" s="2234"/>
      <c r="D201" s="2234"/>
      <c r="E201" s="2234"/>
      <c r="F201" s="2235"/>
    </row>
    <row r="202" spans="2:6" ht="15" customHeight="1" thickBot="1" x14ac:dyDescent="0.3">
      <c r="B202" s="2233" t="s">
        <v>106</v>
      </c>
      <c r="C202" s="2234"/>
      <c r="D202" s="2234"/>
      <c r="E202" s="2234"/>
      <c r="F202" s="2235"/>
    </row>
    <row r="203" spans="2:6" ht="15" customHeight="1" thickBot="1" x14ac:dyDescent="0.3">
      <c r="B203" s="1563" t="s">
        <v>47</v>
      </c>
      <c r="C203" s="2247" t="s">
        <v>184</v>
      </c>
      <c r="D203" s="2248"/>
      <c r="E203" s="2248"/>
      <c r="F203" s="2248"/>
    </row>
    <row r="204" spans="2:6" ht="40.5" customHeight="1" thickBot="1" x14ac:dyDescent="0.3">
      <c r="B204" s="1586" t="s">
        <v>45</v>
      </c>
      <c r="C204" s="2244" t="s">
        <v>544</v>
      </c>
      <c r="D204" s="2245"/>
      <c r="E204" s="2245"/>
      <c r="F204" s="2246"/>
    </row>
    <row r="205" spans="2:6" ht="38.25" customHeight="1" thickBot="1" x14ac:dyDescent="0.3">
      <c r="B205" s="1563" t="s">
        <v>10</v>
      </c>
      <c r="C205" s="2230" t="s">
        <v>545</v>
      </c>
      <c r="D205" s="2231"/>
      <c r="E205" s="2231"/>
      <c r="F205" s="2232"/>
    </row>
    <row r="206" spans="2:6" ht="15" customHeight="1" thickBot="1" x14ac:dyDescent="0.3">
      <c r="B206" s="1563" t="s">
        <v>13</v>
      </c>
      <c r="C206" s="2233" t="s">
        <v>547</v>
      </c>
      <c r="D206" s="2234"/>
      <c r="E206" s="2234"/>
      <c r="F206" s="2235"/>
    </row>
    <row r="207" spans="2:6" ht="15" customHeight="1" x14ac:dyDescent="0.25">
      <c r="B207" s="2220"/>
      <c r="C207" s="1564">
        <v>2018</v>
      </c>
      <c r="D207" s="1564">
        <v>2019</v>
      </c>
      <c r="E207" s="1564">
        <v>2020</v>
      </c>
      <c r="F207" s="1564">
        <v>2021</v>
      </c>
    </row>
    <row r="208" spans="2:6" ht="15" customHeight="1" thickBot="1" x14ac:dyDescent="0.3">
      <c r="B208" s="2221"/>
      <c r="C208" s="1565" t="s">
        <v>6</v>
      </c>
      <c r="D208" s="1565" t="s">
        <v>7</v>
      </c>
      <c r="E208" s="1565" t="s">
        <v>7</v>
      </c>
      <c r="F208" s="1565" t="s">
        <v>7</v>
      </c>
    </row>
    <row r="209" spans="2:10" ht="15" customHeight="1" thickBot="1" x14ac:dyDescent="0.3">
      <c r="B209" s="1563" t="s">
        <v>9</v>
      </c>
      <c r="C209" s="1570">
        <v>24</v>
      </c>
      <c r="D209" s="1570">
        <v>32</v>
      </c>
      <c r="E209" s="1570">
        <v>32</v>
      </c>
      <c r="F209" s="1570">
        <v>32</v>
      </c>
    </row>
    <row r="210" spans="2:10" ht="15" customHeight="1" thickBot="1" x14ac:dyDescent="0.3">
      <c r="B210" s="1563" t="s">
        <v>14</v>
      </c>
      <c r="C210" s="1570">
        <v>7200</v>
      </c>
      <c r="D210" s="1570">
        <v>10000</v>
      </c>
      <c r="E210" s="1570">
        <v>10000</v>
      </c>
      <c r="F210" s="1570">
        <v>10000</v>
      </c>
    </row>
    <row r="211" spans="2:10" ht="15" customHeight="1" thickBot="1" x14ac:dyDescent="0.3">
      <c r="B211" s="1563" t="s">
        <v>23</v>
      </c>
      <c r="C211" s="1588">
        <f>C210/C209</f>
        <v>300</v>
      </c>
      <c r="D211" s="1588">
        <f>D210/D209</f>
        <v>312.5</v>
      </c>
      <c r="E211" s="1588">
        <v>312.5</v>
      </c>
      <c r="F211" s="1588">
        <v>312.5</v>
      </c>
      <c r="G211" s="1567"/>
      <c r="H211" s="1567"/>
      <c r="I211" s="1567"/>
      <c r="J211" s="1567"/>
    </row>
    <row r="212" spans="2:10" ht="15" customHeight="1" thickBot="1" x14ac:dyDescent="0.3">
      <c r="B212" s="1563" t="s">
        <v>15</v>
      </c>
      <c r="C212" s="1568" t="s">
        <v>21</v>
      </c>
      <c r="D212" s="1569">
        <f>D209/C209-1</f>
        <v>0.33333333333333326</v>
      </c>
      <c r="E212" s="1569">
        <f t="shared" ref="E212:F214" si="44">E209/D209-1</f>
        <v>0</v>
      </c>
      <c r="F212" s="1569">
        <f t="shared" si="44"/>
        <v>0</v>
      </c>
    </row>
    <row r="213" spans="2:10" ht="15" customHeight="1" thickBot="1" x14ac:dyDescent="0.3">
      <c r="B213" s="1563" t="s">
        <v>16</v>
      </c>
      <c r="C213" s="1568" t="s">
        <v>21</v>
      </c>
      <c r="D213" s="1569">
        <f>D210/C210-1</f>
        <v>0.38888888888888884</v>
      </c>
      <c r="E213" s="1569">
        <f t="shared" si="44"/>
        <v>0</v>
      </c>
      <c r="F213" s="1569">
        <f t="shared" si="44"/>
        <v>0</v>
      </c>
    </row>
    <row r="214" spans="2:10" ht="15" customHeight="1" thickBot="1" x14ac:dyDescent="0.3">
      <c r="B214" s="1563" t="s">
        <v>17</v>
      </c>
      <c r="C214" s="1568" t="s">
        <v>21</v>
      </c>
      <c r="D214" s="1569">
        <f>D211/C211-1</f>
        <v>4.1666666666666741E-2</v>
      </c>
      <c r="E214" s="1569">
        <f t="shared" si="44"/>
        <v>0</v>
      </c>
      <c r="F214" s="1569">
        <f t="shared" si="44"/>
        <v>0</v>
      </c>
    </row>
    <row r="215" spans="2:10" ht="15" customHeight="1" thickBot="1" x14ac:dyDescent="0.3">
      <c r="B215" s="2222" t="s">
        <v>138</v>
      </c>
      <c r="C215" s="2223"/>
      <c r="D215" s="2223"/>
      <c r="E215" s="2223"/>
      <c r="F215" s="2224"/>
    </row>
    <row r="216" spans="2:10" ht="15" customHeight="1" x14ac:dyDescent="0.25">
      <c r="B216" s="2220"/>
      <c r="C216" s="1564">
        <v>2018</v>
      </c>
      <c r="D216" s="1564">
        <v>2019</v>
      </c>
      <c r="E216" s="1564">
        <v>2020</v>
      </c>
      <c r="F216" s="1564">
        <v>2021</v>
      </c>
    </row>
    <row r="217" spans="2:10" ht="15" customHeight="1" thickBot="1" x14ac:dyDescent="0.3">
      <c r="B217" s="2221"/>
      <c r="C217" s="1565" t="s">
        <v>6</v>
      </c>
      <c r="D217" s="1565" t="s">
        <v>7</v>
      </c>
      <c r="E217" s="1565" t="s">
        <v>7</v>
      </c>
      <c r="F217" s="1565" t="s">
        <v>7</v>
      </c>
    </row>
    <row r="218" spans="2:10" ht="15" customHeight="1" thickBot="1" x14ac:dyDescent="0.3">
      <c r="B218" s="1563" t="s">
        <v>104</v>
      </c>
      <c r="C218" s="1570">
        <v>0</v>
      </c>
      <c r="D218" s="1570">
        <v>0</v>
      </c>
      <c r="E218" s="1570">
        <v>0</v>
      </c>
      <c r="F218" s="1570">
        <v>0</v>
      </c>
    </row>
    <row r="219" spans="2:10" ht="15" customHeight="1" thickBot="1" x14ac:dyDescent="0.3">
      <c r="B219" s="1563" t="s">
        <v>105</v>
      </c>
      <c r="C219" s="1571">
        <f>C210</f>
        <v>7200</v>
      </c>
      <c r="D219" s="1571">
        <f t="shared" ref="D219:F219" si="45">D210</f>
        <v>10000</v>
      </c>
      <c r="E219" s="1571">
        <f t="shared" si="45"/>
        <v>10000</v>
      </c>
      <c r="F219" s="1571">
        <f t="shared" si="45"/>
        <v>10000</v>
      </c>
    </row>
    <row r="220" spans="2:10" ht="15" customHeight="1" thickBot="1" x14ac:dyDescent="0.3">
      <c r="B220" s="1587" t="s">
        <v>68</v>
      </c>
      <c r="C220" s="1570">
        <f>C219+C218</f>
        <v>7200</v>
      </c>
      <c r="D220" s="1570">
        <f t="shared" ref="D220:F220" si="46">D219+D218</f>
        <v>10000</v>
      </c>
      <c r="E220" s="1570">
        <f t="shared" si="46"/>
        <v>10000</v>
      </c>
      <c r="F220" s="1570">
        <f t="shared" si="46"/>
        <v>10000</v>
      </c>
    </row>
    <row r="221" spans="2:10" ht="15" customHeight="1" thickBot="1" x14ac:dyDescent="0.3">
      <c r="B221" s="1589" t="s">
        <v>47</v>
      </c>
      <c r="C221" s="2273" t="s">
        <v>46</v>
      </c>
      <c r="D221" s="2274"/>
      <c r="E221" s="2274"/>
      <c r="F221" s="2275"/>
    </row>
    <row r="222" spans="2:10" ht="29.25" customHeight="1" thickBot="1" x14ac:dyDescent="0.3">
      <c r="B222" s="1586" t="s">
        <v>103</v>
      </c>
      <c r="C222" s="2230" t="s">
        <v>543</v>
      </c>
      <c r="D222" s="2231"/>
      <c r="E222" s="2231"/>
      <c r="F222" s="2232"/>
    </row>
    <row r="223" spans="2:10" ht="45.75" customHeight="1" thickBot="1" x14ac:dyDescent="0.3">
      <c r="B223" s="1563" t="s">
        <v>10</v>
      </c>
      <c r="C223" s="2230" t="s">
        <v>543</v>
      </c>
      <c r="D223" s="2231"/>
      <c r="E223" s="2231"/>
      <c r="F223" s="2232"/>
    </row>
    <row r="224" spans="2:10" ht="15" customHeight="1" thickBot="1" x14ac:dyDescent="0.3">
      <c r="B224" s="1563" t="s">
        <v>13</v>
      </c>
      <c r="C224" s="2217" t="s">
        <v>546</v>
      </c>
      <c r="D224" s="2218"/>
      <c r="E224" s="2218"/>
      <c r="F224" s="2219"/>
    </row>
    <row r="225" spans="2:16" ht="15" customHeight="1" x14ac:dyDescent="0.25">
      <c r="B225" s="2220"/>
      <c r="C225" s="1564">
        <v>2018</v>
      </c>
      <c r="D225" s="1564">
        <v>2019</v>
      </c>
      <c r="E225" s="1564">
        <v>2020</v>
      </c>
      <c r="F225" s="1564">
        <v>2021</v>
      </c>
    </row>
    <row r="226" spans="2:16" ht="15" customHeight="1" thickBot="1" x14ac:dyDescent="0.3">
      <c r="B226" s="2221"/>
      <c r="C226" s="1565" t="s">
        <v>6</v>
      </c>
      <c r="D226" s="1565" t="s">
        <v>7</v>
      </c>
      <c r="E226" s="1565" t="s">
        <v>7</v>
      </c>
      <c r="F226" s="1565" t="s">
        <v>7</v>
      </c>
    </row>
    <row r="227" spans="2:16" ht="15" customHeight="1" thickBot="1" x14ac:dyDescent="0.3">
      <c r="B227" s="1563" t="s">
        <v>9</v>
      </c>
      <c r="C227" s="1570">
        <v>5</v>
      </c>
      <c r="D227" s="1570">
        <v>5</v>
      </c>
      <c r="E227" s="1570">
        <v>5</v>
      </c>
      <c r="F227" s="1570">
        <v>5</v>
      </c>
    </row>
    <row r="228" spans="2:16" ht="15" customHeight="1" thickBot="1" x14ac:dyDescent="0.3">
      <c r="B228" s="1563" t="s">
        <v>14</v>
      </c>
      <c r="C228" s="1570">
        <v>1557</v>
      </c>
      <c r="D228" s="1570">
        <v>1500</v>
      </c>
      <c r="E228" s="1570">
        <v>1500</v>
      </c>
      <c r="F228" s="1570">
        <v>1500</v>
      </c>
    </row>
    <row r="229" spans="2:16" ht="15" customHeight="1" thickBot="1" x14ac:dyDescent="0.3">
      <c r="B229" s="1563" t="s">
        <v>23</v>
      </c>
      <c r="C229" s="1570">
        <f>C228/C227</f>
        <v>311.39999999999998</v>
      </c>
      <c r="D229" s="1570">
        <f>D228/D227</f>
        <v>300</v>
      </c>
      <c r="E229" s="1570">
        <f t="shared" ref="E229:F229" si="47">E228/E227</f>
        <v>300</v>
      </c>
      <c r="F229" s="1570">
        <f t="shared" si="47"/>
        <v>300</v>
      </c>
      <c r="G229" s="1567"/>
      <c r="H229" s="1567"/>
      <c r="I229" s="1567"/>
      <c r="J229" s="1567"/>
    </row>
    <row r="230" spans="2:16" ht="15" customHeight="1" thickBot="1" x14ac:dyDescent="0.3">
      <c r="B230" s="1563" t="s">
        <v>15</v>
      </c>
      <c r="C230" s="1568" t="s">
        <v>21</v>
      </c>
      <c r="D230" s="1569">
        <f>D227/C227-1</f>
        <v>0</v>
      </c>
      <c r="E230" s="1569">
        <f t="shared" ref="E230:F232" si="48">E227/D227-1</f>
        <v>0</v>
      </c>
      <c r="F230" s="1569">
        <f t="shared" si="48"/>
        <v>0</v>
      </c>
    </row>
    <row r="231" spans="2:16" ht="15" customHeight="1" thickBot="1" x14ac:dyDescent="0.3">
      <c r="B231" s="1563" t="s">
        <v>16</v>
      </c>
      <c r="C231" s="1568" t="s">
        <v>21</v>
      </c>
      <c r="D231" s="1569">
        <f>D228/C228-1</f>
        <v>-3.6608863198458574E-2</v>
      </c>
      <c r="E231" s="1569">
        <f t="shared" si="48"/>
        <v>0</v>
      </c>
      <c r="F231" s="1569">
        <f t="shared" si="48"/>
        <v>0</v>
      </c>
    </row>
    <row r="232" spans="2:16" ht="15" customHeight="1" thickBot="1" x14ac:dyDescent="0.3">
      <c r="B232" s="1563" t="s">
        <v>17</v>
      </c>
      <c r="C232" s="1568" t="s">
        <v>21</v>
      </c>
      <c r="D232" s="1569">
        <f>D229/C229-1</f>
        <v>-3.6608863198458463E-2</v>
      </c>
      <c r="E232" s="1569">
        <f t="shared" si="48"/>
        <v>0</v>
      </c>
      <c r="F232" s="1569">
        <f t="shared" si="48"/>
        <v>0</v>
      </c>
    </row>
    <row r="233" spans="2:16" ht="15" customHeight="1" thickBot="1" x14ac:dyDescent="0.3">
      <c r="B233" s="2222" t="s">
        <v>140</v>
      </c>
      <c r="C233" s="2223"/>
      <c r="D233" s="2223"/>
      <c r="E233" s="2223"/>
      <c r="F233" s="2224"/>
    </row>
    <row r="234" spans="2:16" ht="15" customHeight="1" x14ac:dyDescent="0.25">
      <c r="B234" s="2220"/>
      <c r="C234" s="1564">
        <v>2018</v>
      </c>
      <c r="D234" s="1564">
        <v>2019</v>
      </c>
      <c r="E234" s="1564">
        <v>2020</v>
      </c>
      <c r="F234" s="1564">
        <v>2021</v>
      </c>
    </row>
    <row r="235" spans="2:16" ht="15" customHeight="1" thickBot="1" x14ac:dyDescent="0.3">
      <c r="B235" s="2221"/>
      <c r="C235" s="1565" t="s">
        <v>6</v>
      </c>
      <c r="D235" s="1565" t="s">
        <v>7</v>
      </c>
      <c r="E235" s="1565" t="s">
        <v>7</v>
      </c>
      <c r="F235" s="1565" t="s">
        <v>7</v>
      </c>
    </row>
    <row r="236" spans="2:16" ht="15" customHeight="1" thickBot="1" x14ac:dyDescent="0.3">
      <c r="B236" s="1563" t="s">
        <v>104</v>
      </c>
      <c r="C236" s="1570">
        <v>0</v>
      </c>
      <c r="D236" s="1570">
        <v>0</v>
      </c>
      <c r="E236" s="1570">
        <v>0</v>
      </c>
      <c r="F236" s="1570">
        <v>0</v>
      </c>
      <c r="M236" s="1547"/>
      <c r="N236" s="1547"/>
      <c r="O236" s="1547"/>
      <c r="P236" s="1547"/>
    </row>
    <row r="237" spans="2:16" ht="15" customHeight="1" thickBot="1" x14ac:dyDescent="0.3">
      <c r="B237" s="1563" t="s">
        <v>105</v>
      </c>
      <c r="C237" s="1571">
        <f>C228</f>
        <v>1557</v>
      </c>
      <c r="D237" s="1571">
        <f t="shared" ref="D237:F237" si="49">D228</f>
        <v>1500</v>
      </c>
      <c r="E237" s="1571">
        <f t="shared" si="49"/>
        <v>1500</v>
      </c>
      <c r="F237" s="1571">
        <f t="shared" si="49"/>
        <v>1500</v>
      </c>
      <c r="M237" s="1547"/>
      <c r="N237" s="1547"/>
      <c r="O237" s="1547"/>
      <c r="P237" s="1547"/>
    </row>
    <row r="238" spans="2:16" ht="15" customHeight="1" thickBot="1" x14ac:dyDescent="0.3">
      <c r="B238" s="1587" t="s">
        <v>71</v>
      </c>
      <c r="C238" s="1571">
        <f>C237+C236</f>
        <v>1557</v>
      </c>
      <c r="D238" s="1571">
        <f t="shared" ref="D238:F238" si="50">D237+D236</f>
        <v>1500</v>
      </c>
      <c r="E238" s="1571">
        <f t="shared" si="50"/>
        <v>1500</v>
      </c>
      <c r="F238" s="1571">
        <f t="shared" si="50"/>
        <v>1500</v>
      </c>
      <c r="M238" s="1548"/>
      <c r="N238" s="1548"/>
      <c r="O238" s="1548"/>
      <c r="P238" s="1548"/>
    </row>
    <row r="239" spans="2:16" ht="15" customHeight="1" thickBot="1" x14ac:dyDescent="0.3">
      <c r="B239" s="1573"/>
      <c r="C239" s="1574"/>
      <c r="D239" s="1574"/>
      <c r="E239" s="1574"/>
      <c r="F239" s="1574"/>
      <c r="M239" s="1549"/>
      <c r="N239" s="1549"/>
      <c r="O239" s="1549"/>
      <c r="P239" s="1549"/>
    </row>
    <row r="240" spans="2:16" ht="28.5" customHeight="1" thickBot="1" x14ac:dyDescent="0.3">
      <c r="B240" s="1603" t="s">
        <v>116</v>
      </c>
      <c r="C240" s="1604">
        <f>C41+C73+C105+C138+C163+C190+C210+C228</f>
        <v>797042</v>
      </c>
      <c r="D240" s="1604">
        <f t="shared" ref="D240" si="51">D41+D73+D105+D138+D163+D190+D210+D228</f>
        <v>787042.1</v>
      </c>
      <c r="E240" s="1604">
        <f>E41+E73+E105+E138+E163+E190+E210+E228</f>
        <v>795042</v>
      </c>
      <c r="F240" s="1604">
        <f t="shared" ref="F240" si="52">F41+F73+F105+F138+F163+F190+F210+F228</f>
        <v>795042</v>
      </c>
      <c r="M240" s="1550"/>
      <c r="N240" s="1550"/>
      <c r="O240" s="1550"/>
      <c r="P240" s="1550"/>
    </row>
    <row r="241" spans="2:16" ht="31.5" customHeight="1" thickBot="1" x14ac:dyDescent="0.3">
      <c r="B241" s="1603" t="s">
        <v>117</v>
      </c>
      <c r="C241" s="1604">
        <f>C56+C120+C88+C153+C178+C200+C220+C238</f>
        <v>797042</v>
      </c>
      <c r="D241" s="1604">
        <f>D56+D120+D88+D153+D178+D200+D220+D238</f>
        <v>787042.1</v>
      </c>
      <c r="E241" s="1604">
        <f>E243+E245+E247+E249+E251+E253+E255+E257+E259</f>
        <v>795042</v>
      </c>
      <c r="F241" s="1604">
        <f t="shared" ref="F241" si="53">F243+F245+F247+F249+F251+F253+F255+F257+F259</f>
        <v>795042</v>
      </c>
      <c r="M241" s="1550"/>
      <c r="N241" s="1550"/>
      <c r="O241" s="1550"/>
      <c r="P241" s="1550"/>
    </row>
    <row r="242" spans="2:16" ht="15" customHeight="1" thickBot="1" x14ac:dyDescent="0.3">
      <c r="B242" s="1590" t="s">
        <v>24</v>
      </c>
      <c r="C242" s="1591"/>
      <c r="D242" s="1592">
        <f>D241/C241-1</f>
        <v>-1.2546264814150332E-2</v>
      </c>
      <c r="E242" s="1592">
        <f t="shared" ref="E242:F242" si="54">E241/D241-1</f>
        <v>1.0164513435812372E-2</v>
      </c>
      <c r="F242" s="1592">
        <f t="shared" si="54"/>
        <v>0</v>
      </c>
      <c r="M242" s="1550"/>
      <c r="N242" s="1550"/>
      <c r="O242" s="1550"/>
      <c r="P242" s="1550"/>
    </row>
    <row r="243" spans="2:16" ht="15" customHeight="1" thickBot="1" x14ac:dyDescent="0.3">
      <c r="B243" s="1563" t="s">
        <v>0</v>
      </c>
      <c r="C243" s="1588">
        <f>C81+C171</f>
        <v>506850</v>
      </c>
      <c r="D243" s="1588">
        <f t="shared" ref="D243" si="55">D81+D171</f>
        <v>506850</v>
      </c>
      <c r="E243" s="1588">
        <f>E49+E81+E113+E146+E171</f>
        <v>506850</v>
      </c>
      <c r="F243" s="1588">
        <f>F49+F81+F113+F146+F171</f>
        <v>506850</v>
      </c>
      <c r="M243" s="1546"/>
      <c r="N243" s="1546"/>
      <c r="O243" s="1546"/>
      <c r="P243" s="1546"/>
    </row>
    <row r="244" spans="2:16" ht="15" customHeight="1" thickBot="1" x14ac:dyDescent="0.3">
      <c r="B244" s="1593" t="s">
        <v>25</v>
      </c>
      <c r="C244" s="1594"/>
      <c r="D244" s="1594"/>
      <c r="E244" s="1594"/>
      <c r="F244" s="1594"/>
      <c r="M244" s="1546"/>
      <c r="N244" s="1546"/>
      <c r="O244" s="1546"/>
      <c r="P244" s="1546"/>
    </row>
    <row r="245" spans="2:16" ht="15" customHeight="1" thickBot="1" x14ac:dyDescent="0.3">
      <c r="B245" s="1563" t="s">
        <v>49</v>
      </c>
      <c r="C245" s="1588">
        <f t="shared" ref="C245:D245" si="56">C50+C82+C114+C147+C172</f>
        <v>94450</v>
      </c>
      <c r="D245" s="1588">
        <f t="shared" si="56"/>
        <v>94450</v>
      </c>
      <c r="E245" s="1588">
        <f>E50+E82+E114+E147+E172</f>
        <v>94450</v>
      </c>
      <c r="F245" s="1588">
        <f t="shared" ref="F245" si="57">F50+F82+F114+F147+F172</f>
        <v>94450</v>
      </c>
      <c r="M245" s="1550"/>
      <c r="N245" s="1550"/>
      <c r="O245" s="1550"/>
      <c r="P245" s="1550"/>
    </row>
    <row r="246" spans="2:16" ht="15" customHeight="1" thickBot="1" x14ac:dyDescent="0.3">
      <c r="B246" s="1593" t="s">
        <v>50</v>
      </c>
      <c r="C246" s="1571"/>
      <c r="D246" s="1595">
        <f>D245/C245-1</f>
        <v>0</v>
      </c>
      <c r="E246" s="1595">
        <f t="shared" ref="E246:F246" si="58">E245/D245-1</f>
        <v>0</v>
      </c>
      <c r="F246" s="1595">
        <f t="shared" si="58"/>
        <v>0</v>
      </c>
      <c r="M246" s="1547"/>
      <c r="N246" s="1547"/>
      <c r="O246" s="1547"/>
      <c r="P246" s="1547"/>
    </row>
    <row r="247" spans="2:16" ht="15" customHeight="1" thickBot="1" x14ac:dyDescent="0.3">
      <c r="B247" s="1563" t="s">
        <v>1</v>
      </c>
      <c r="C247" s="1570">
        <f>C51+C83+C115+C148+C173</f>
        <v>123342</v>
      </c>
      <c r="D247" s="1570">
        <f t="shared" ref="D247:F247" si="59">D51+D83+D115+D148+D173</f>
        <v>133342.1</v>
      </c>
      <c r="E247" s="1570">
        <f>E51+E83+E115+E148+E173</f>
        <v>138342</v>
      </c>
      <c r="F247" s="1570">
        <f t="shared" si="59"/>
        <v>138342</v>
      </c>
      <c r="G247" s="1596"/>
      <c r="H247" s="1596"/>
      <c r="I247" s="1596"/>
      <c r="J247" s="1596"/>
      <c r="M247" s="1547"/>
      <c r="N247" s="1547"/>
      <c r="O247" s="1547"/>
      <c r="P247" s="1547"/>
    </row>
    <row r="248" spans="2:16" ht="15" customHeight="1" thickBot="1" x14ac:dyDescent="0.3">
      <c r="B248" s="1593" t="s">
        <v>26</v>
      </c>
      <c r="C248" s="1571"/>
      <c r="D248" s="1595">
        <f>D247/C247-1</f>
        <v>8.1076194645781641E-2</v>
      </c>
      <c r="E248" s="1595">
        <f t="shared" ref="E248:F248" si="60">E247/D247-1</f>
        <v>3.7496784586413368E-2</v>
      </c>
      <c r="F248" s="1595">
        <f t="shared" si="60"/>
        <v>0</v>
      </c>
      <c r="G248" s="1580"/>
      <c r="H248" s="1580"/>
      <c r="I248" s="1580"/>
      <c r="J248" s="1580"/>
    </row>
    <row r="249" spans="2:16" ht="15" customHeight="1" thickBot="1" x14ac:dyDescent="0.3">
      <c r="B249" s="1563" t="s">
        <v>2</v>
      </c>
      <c r="C249" s="1570">
        <v>0</v>
      </c>
      <c r="D249" s="1570">
        <v>0</v>
      </c>
      <c r="E249" s="1570">
        <v>0</v>
      </c>
      <c r="F249" s="1570">
        <v>0</v>
      </c>
      <c r="G249" s="1596"/>
      <c r="H249" s="1596"/>
      <c r="I249" s="1596"/>
      <c r="J249" s="1596"/>
    </row>
    <row r="250" spans="2:16" ht="15" customHeight="1" thickBot="1" x14ac:dyDescent="0.3">
      <c r="B250" s="1593" t="s">
        <v>27</v>
      </c>
      <c r="C250" s="1571"/>
      <c r="D250" s="1595">
        <v>0</v>
      </c>
      <c r="E250" s="1595">
        <v>0</v>
      </c>
      <c r="F250" s="1595">
        <v>0</v>
      </c>
      <c r="G250" s="1580"/>
      <c r="H250" s="1580"/>
      <c r="I250" s="1580"/>
      <c r="J250" s="1580"/>
    </row>
    <row r="251" spans="2:16" ht="15" customHeight="1" thickBot="1" x14ac:dyDescent="0.3">
      <c r="B251" s="1563" t="s">
        <v>28</v>
      </c>
      <c r="C251" s="1570">
        <v>0</v>
      </c>
      <c r="D251" s="1570">
        <v>0</v>
      </c>
      <c r="E251" s="1570">
        <v>0</v>
      </c>
      <c r="F251" s="1570">
        <v>0</v>
      </c>
      <c r="G251" s="1596"/>
      <c r="H251" s="1596"/>
      <c r="I251" s="1596"/>
      <c r="J251" s="1596"/>
    </row>
    <row r="252" spans="2:16" ht="15" customHeight="1" thickBot="1" x14ac:dyDescent="0.3">
      <c r="B252" s="1593" t="s">
        <v>29</v>
      </c>
      <c r="C252" s="1571"/>
      <c r="D252" s="1595">
        <v>0</v>
      </c>
      <c r="E252" s="1595">
        <v>0</v>
      </c>
      <c r="F252" s="1595">
        <v>0</v>
      </c>
      <c r="G252" s="1580"/>
      <c r="H252" s="1580"/>
      <c r="I252" s="1580"/>
      <c r="J252" s="1580"/>
    </row>
    <row r="253" spans="2:16" ht="15" customHeight="1" thickBot="1" x14ac:dyDescent="0.3">
      <c r="B253" s="1563" t="s">
        <v>30</v>
      </c>
      <c r="C253" s="1570">
        <v>0</v>
      </c>
      <c r="D253" s="1570">
        <v>0</v>
      </c>
      <c r="E253" s="1570">
        <v>0</v>
      </c>
      <c r="F253" s="1570">
        <v>0</v>
      </c>
      <c r="G253" s="1596"/>
      <c r="H253" s="1596"/>
      <c r="I253" s="1596"/>
      <c r="J253" s="1596"/>
    </row>
    <row r="254" spans="2:16" ht="15" customHeight="1" thickBot="1" x14ac:dyDescent="0.3">
      <c r="B254" s="1593" t="s">
        <v>31</v>
      </c>
      <c r="C254" s="1571"/>
      <c r="D254" s="1595">
        <v>0</v>
      </c>
      <c r="E254" s="1595">
        <v>0</v>
      </c>
      <c r="F254" s="1595">
        <v>0</v>
      </c>
      <c r="G254" s="1580"/>
      <c r="H254" s="1580"/>
      <c r="I254" s="1580"/>
      <c r="J254" s="1580"/>
    </row>
    <row r="255" spans="2:16" ht="15" customHeight="1" thickBot="1" x14ac:dyDescent="0.3">
      <c r="B255" s="1563" t="s">
        <v>3</v>
      </c>
      <c r="C255" s="1570">
        <f>C177</f>
        <v>400</v>
      </c>
      <c r="D255" s="1570">
        <f t="shared" ref="D255:F255" si="61">D177</f>
        <v>400</v>
      </c>
      <c r="E255" s="1570">
        <f t="shared" si="61"/>
        <v>400</v>
      </c>
      <c r="F255" s="1570">
        <f t="shared" si="61"/>
        <v>400</v>
      </c>
      <c r="G255" s="1596"/>
      <c r="H255" s="1596"/>
      <c r="I255" s="1596"/>
      <c r="J255" s="1596"/>
    </row>
    <row r="256" spans="2:16" ht="15" customHeight="1" thickBot="1" x14ac:dyDescent="0.3">
      <c r="B256" s="1593" t="s">
        <v>32</v>
      </c>
      <c r="C256" s="1571"/>
      <c r="D256" s="1595">
        <v>0</v>
      </c>
      <c r="E256" s="1595">
        <v>0</v>
      </c>
      <c r="F256" s="1595">
        <v>0</v>
      </c>
      <c r="G256" s="1580"/>
      <c r="H256" s="1580"/>
      <c r="I256" s="1580"/>
      <c r="J256" s="1580"/>
    </row>
    <row r="257" spans="2:10" ht="15" customHeight="1" thickBot="1" x14ac:dyDescent="0.3">
      <c r="B257" s="1563" t="s">
        <v>18</v>
      </c>
      <c r="C257" s="1570">
        <v>0</v>
      </c>
      <c r="D257" s="1570">
        <v>0</v>
      </c>
      <c r="E257" s="1570">
        <v>0</v>
      </c>
      <c r="F257" s="1570">
        <v>0</v>
      </c>
      <c r="G257" s="1596"/>
      <c r="H257" s="1596"/>
      <c r="I257" s="1596"/>
      <c r="J257" s="1596"/>
    </row>
    <row r="258" spans="2:10" ht="15" customHeight="1" thickBot="1" x14ac:dyDescent="0.3">
      <c r="B258" s="1593" t="s">
        <v>33</v>
      </c>
      <c r="C258" s="1571"/>
      <c r="D258" s="1595">
        <v>0</v>
      </c>
      <c r="E258" s="1595">
        <v>0</v>
      </c>
      <c r="F258" s="1595">
        <v>0</v>
      </c>
      <c r="G258" s="1580"/>
      <c r="H258" s="1580"/>
      <c r="I258" s="1580"/>
      <c r="J258" s="1580"/>
    </row>
    <row r="259" spans="2:10" ht="15" customHeight="1" thickBot="1" x14ac:dyDescent="0.3">
      <c r="B259" s="1563" t="s">
        <v>19</v>
      </c>
      <c r="C259" s="1570">
        <f>C199+C219+C237</f>
        <v>72000</v>
      </c>
      <c r="D259" s="1570">
        <f t="shared" ref="D259:F259" si="62">D199+D219+D237</f>
        <v>52000</v>
      </c>
      <c r="E259" s="1570">
        <f t="shared" si="62"/>
        <v>55000</v>
      </c>
      <c r="F259" s="1570">
        <f t="shared" si="62"/>
        <v>55000</v>
      </c>
      <c r="G259" s="1596"/>
      <c r="H259" s="1596"/>
      <c r="I259" s="1596"/>
      <c r="J259" s="1596"/>
    </row>
    <row r="260" spans="2:10" ht="15" customHeight="1" thickBot="1" x14ac:dyDescent="0.3">
      <c r="B260" s="1593" t="s">
        <v>34</v>
      </c>
      <c r="C260" s="1571"/>
      <c r="D260" s="1595">
        <f>D259/C259-1</f>
        <v>-0.27777777777777779</v>
      </c>
      <c r="E260" s="1595">
        <f t="shared" ref="E260:F260" si="63">E259/D259-1</f>
        <v>5.7692307692307709E-2</v>
      </c>
      <c r="F260" s="1595">
        <f t="shared" si="63"/>
        <v>0</v>
      </c>
    </row>
    <row r="261" spans="2:10" ht="15" customHeight="1" thickBot="1" x14ac:dyDescent="0.3">
      <c r="B261" s="1572" t="s">
        <v>549</v>
      </c>
      <c r="C261" s="1574">
        <f>C243+C245+C247+C249+C251+C253+C255+C257+C259</f>
        <v>797042</v>
      </c>
      <c r="D261" s="1574">
        <f t="shared" ref="D261:F261" si="64">D243+D245+D247+D249+D251+D253+D255+D257+D259</f>
        <v>787042.1</v>
      </c>
      <c r="E261" s="1574">
        <f t="shared" si="64"/>
        <v>795042</v>
      </c>
      <c r="F261" s="1574">
        <f t="shared" si="64"/>
        <v>795042</v>
      </c>
    </row>
    <row r="262" spans="2:10" ht="15" customHeight="1" thickBot="1" x14ac:dyDescent="0.3">
      <c r="B262" s="1573" t="s">
        <v>70</v>
      </c>
      <c r="C262" s="1574">
        <f>C261-C240</f>
        <v>0</v>
      </c>
      <c r="D262" s="1574">
        <f t="shared" ref="D262:F262" si="65">D261-D240</f>
        <v>0</v>
      </c>
      <c r="E262" s="1574">
        <f t="shared" si="65"/>
        <v>0</v>
      </c>
      <c r="F262" s="1574">
        <f t="shared" si="65"/>
        <v>0</v>
      </c>
    </row>
    <row r="263" spans="2:10" ht="15" customHeight="1" thickBot="1" x14ac:dyDescent="0.3">
      <c r="B263" s="1582" t="s">
        <v>55</v>
      </c>
      <c r="C263" s="1570">
        <f>C30</f>
        <v>678</v>
      </c>
      <c r="D263" s="1570">
        <f t="shared" ref="D263:F263" si="66">D30</f>
        <v>678</v>
      </c>
      <c r="E263" s="1570">
        <f t="shared" si="66"/>
        <v>678</v>
      </c>
      <c r="F263" s="1570">
        <f t="shared" si="66"/>
        <v>678</v>
      </c>
    </row>
    <row r="264" spans="2:10" ht="15" customHeight="1" thickBot="1" x14ac:dyDescent="0.3">
      <c r="B264" s="1582" t="s">
        <v>64</v>
      </c>
      <c r="C264" s="1570">
        <v>42</v>
      </c>
      <c r="D264" s="1570">
        <v>42</v>
      </c>
      <c r="E264" s="1570">
        <v>42</v>
      </c>
      <c r="F264" s="1570">
        <v>42</v>
      </c>
    </row>
  </sheetData>
  <mergeCells count="81">
    <mergeCell ref="B13:F13"/>
    <mergeCell ref="C14:C15"/>
    <mergeCell ref="B144:B145"/>
    <mergeCell ref="B155:F155"/>
    <mergeCell ref="B156:F156"/>
    <mergeCell ref="C122:F122"/>
    <mergeCell ref="B123:F123"/>
    <mergeCell ref="B130:F130"/>
    <mergeCell ref="B131:F131"/>
    <mergeCell ref="C132:F132"/>
    <mergeCell ref="C133:F133"/>
    <mergeCell ref="C134:F134"/>
    <mergeCell ref="B135:B136"/>
    <mergeCell ref="B143:F143"/>
    <mergeCell ref="B91:F91"/>
    <mergeCell ref="B97:F97"/>
    <mergeCell ref="C157:F157"/>
    <mergeCell ref="C158:F158"/>
    <mergeCell ref="C159:F159"/>
    <mergeCell ref="B160:B161"/>
    <mergeCell ref="B168:F168"/>
    <mergeCell ref="B169:B170"/>
    <mergeCell ref="B207:B208"/>
    <mergeCell ref="B215:F215"/>
    <mergeCell ref="B216:B217"/>
    <mergeCell ref="C221:F221"/>
    <mergeCell ref="B201:F201"/>
    <mergeCell ref="B202:F202"/>
    <mergeCell ref="B98:F98"/>
    <mergeCell ref="C99:F99"/>
    <mergeCell ref="C100:F100"/>
    <mergeCell ref="C4:F4"/>
    <mergeCell ref="B7:F11"/>
    <mergeCell ref="B66:F66"/>
    <mergeCell ref="B38:B39"/>
    <mergeCell ref="B46:F46"/>
    <mergeCell ref="C58:F58"/>
    <mergeCell ref="B59:F59"/>
    <mergeCell ref="B65:F65"/>
    <mergeCell ref="B12:F12"/>
    <mergeCell ref="B70:B71"/>
    <mergeCell ref="B78:F78"/>
    <mergeCell ref="B79:B80"/>
    <mergeCell ref="C90:F90"/>
    <mergeCell ref="B1:F1"/>
    <mergeCell ref="C3:F3"/>
    <mergeCell ref="C5:F5"/>
    <mergeCell ref="B6:F6"/>
    <mergeCell ref="C222:F222"/>
    <mergeCell ref="C204:F204"/>
    <mergeCell ref="C205:F205"/>
    <mergeCell ref="C206:F206"/>
    <mergeCell ref="C203:F203"/>
    <mergeCell ref="C185:F185"/>
    <mergeCell ref="C186:F186"/>
    <mergeCell ref="B187:B188"/>
    <mergeCell ref="B195:F195"/>
    <mergeCell ref="B196:B197"/>
    <mergeCell ref="C182:F182"/>
    <mergeCell ref="C184:F184"/>
    <mergeCell ref="C223:F223"/>
    <mergeCell ref="C224:F224"/>
    <mergeCell ref="B225:B226"/>
    <mergeCell ref="B233:F233"/>
    <mergeCell ref="B234:B235"/>
    <mergeCell ref="C101:F101"/>
    <mergeCell ref="B102:B103"/>
    <mergeCell ref="B110:F110"/>
    <mergeCell ref="B111:B112"/>
    <mergeCell ref="B14:B15"/>
    <mergeCell ref="C27:F27"/>
    <mergeCell ref="B28:F28"/>
    <mergeCell ref="B33:F33"/>
    <mergeCell ref="B47:B48"/>
    <mergeCell ref="C67:F67"/>
    <mergeCell ref="C68:F68"/>
    <mergeCell ref="C69:F69"/>
    <mergeCell ref="B34:F34"/>
    <mergeCell ref="C35:F35"/>
    <mergeCell ref="C36:F36"/>
    <mergeCell ref="C37:F37"/>
  </mergeCells>
  <printOptions horizontalCentered="1" verticalCentered="1"/>
  <pageMargins left="7.874015748031496E-2" right="7.874015748031496E-2" top="0.39370078740157483" bottom="0.39370078740157483" header="0.31496062992125984" footer="0.31496062992125984"/>
  <pageSetup scale="74" orientation="portrait" r:id="rId1"/>
  <rowBreaks count="4" manualBreakCount="4">
    <brk id="56" max="5" man="1"/>
    <brk id="120" max="5" man="1"/>
    <brk id="199" max="5" man="1"/>
    <brk id="237"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J210"/>
  <sheetViews>
    <sheetView topLeftCell="C188" zoomScale="96" zoomScaleNormal="96" workbookViewId="0">
      <selection activeCell="E188" sqref="E188"/>
    </sheetView>
  </sheetViews>
  <sheetFormatPr defaultRowHeight="13.9" customHeight="1" x14ac:dyDescent="0.25"/>
  <cols>
    <col min="1" max="1" width="5.7109375" customWidth="1"/>
    <col min="2" max="2" width="52.140625" customWidth="1"/>
    <col min="3" max="3" width="16.7109375" customWidth="1"/>
    <col min="4" max="4" width="16" customWidth="1"/>
    <col min="5" max="5" width="14.7109375" customWidth="1"/>
    <col min="6" max="6" width="20.7109375" customWidth="1"/>
    <col min="7" max="8" width="9.85546875" customWidth="1"/>
    <col min="9" max="9" width="11.28515625" customWidth="1"/>
    <col min="10" max="10" width="11.7109375" customWidth="1"/>
    <col min="11" max="11" width="13.42578125" customWidth="1"/>
  </cols>
  <sheetData>
    <row r="2" spans="1:8" ht="13.9" customHeight="1" x14ac:dyDescent="0.25">
      <c r="B2" s="2293" t="s">
        <v>85</v>
      </c>
      <c r="C2" s="2293"/>
      <c r="D2" s="2293"/>
      <c r="E2" s="2293"/>
      <c r="F2" s="2293"/>
      <c r="G2" s="10"/>
    </row>
    <row r="3" spans="1:8" ht="13.9" customHeight="1" x14ac:dyDescent="0.25">
      <c r="B3" s="2294" t="s">
        <v>43</v>
      </c>
      <c r="C3" s="2294"/>
      <c r="D3" s="2294"/>
      <c r="E3" s="2294"/>
      <c r="F3" s="2294"/>
      <c r="H3" s="10"/>
    </row>
    <row r="4" spans="1:8" ht="13.9" customHeight="1" x14ac:dyDescent="0.25">
      <c r="A4" s="273"/>
      <c r="B4" s="331"/>
      <c r="C4" s="274"/>
      <c r="D4" s="274"/>
      <c r="E4" s="274"/>
      <c r="F4" s="275"/>
      <c r="G4" s="274"/>
      <c r="H4" s="274"/>
    </row>
    <row r="5" spans="1:8" ht="13.9" customHeight="1" x14ac:dyDescent="0.25">
      <c r="A5" s="273"/>
      <c r="B5" s="332" t="s">
        <v>96</v>
      </c>
      <c r="C5" s="2193" t="s">
        <v>146</v>
      </c>
      <c r="D5" s="2194"/>
      <c r="E5" s="2194"/>
      <c r="F5" s="2194"/>
      <c r="G5" s="274"/>
      <c r="H5" s="274"/>
    </row>
    <row r="6" spans="1:8" ht="13.9" customHeight="1" x14ac:dyDescent="0.25">
      <c r="A6" s="273"/>
      <c r="B6" s="333" t="s">
        <v>4</v>
      </c>
      <c r="C6" s="2195" t="s">
        <v>144</v>
      </c>
      <c r="D6" s="2196"/>
      <c r="E6" s="2196"/>
      <c r="F6" s="2196"/>
      <c r="G6" s="274"/>
      <c r="H6" s="274"/>
    </row>
    <row r="7" spans="1:8" ht="13.9" customHeight="1" thickBot="1" x14ac:dyDescent="0.3">
      <c r="A7" s="273"/>
      <c r="B7" s="334" t="s">
        <v>136</v>
      </c>
      <c r="C7" s="2185" t="s">
        <v>5</v>
      </c>
      <c r="D7" s="2186"/>
      <c r="E7" s="2186"/>
      <c r="F7" s="2186"/>
      <c r="G7" s="274"/>
      <c r="H7" s="274"/>
    </row>
    <row r="8" spans="1:8" ht="13.9" customHeight="1" x14ac:dyDescent="0.25">
      <c r="A8" s="273"/>
      <c r="B8" s="2183" t="s">
        <v>119</v>
      </c>
      <c r="C8" s="587">
        <v>2018</v>
      </c>
      <c r="D8" s="587">
        <v>2019</v>
      </c>
      <c r="E8" s="587">
        <v>2020</v>
      </c>
      <c r="F8" s="588">
        <v>2021</v>
      </c>
      <c r="G8" s="274"/>
      <c r="H8" s="274"/>
    </row>
    <row r="9" spans="1:8" ht="15" customHeight="1" thickBot="1" x14ac:dyDescent="0.3">
      <c r="A9" s="273"/>
      <c r="B9" s="2184"/>
      <c r="C9" s="589" t="s">
        <v>6</v>
      </c>
      <c r="D9" s="589" t="s">
        <v>7</v>
      </c>
      <c r="E9" s="589" t="s">
        <v>7</v>
      </c>
      <c r="F9" s="590" t="s">
        <v>7</v>
      </c>
      <c r="G9" s="274"/>
      <c r="H9" s="274"/>
    </row>
    <row r="10" spans="1:8" ht="13.9" customHeight="1" thickBot="1" x14ac:dyDescent="0.3">
      <c r="A10" s="273"/>
      <c r="B10" s="279" t="s">
        <v>517</v>
      </c>
      <c r="C10" s="280">
        <f>100/678</f>
        <v>0.14749262536873156</v>
      </c>
      <c r="D10" s="280">
        <f>110/678</f>
        <v>0.16224188790560473</v>
      </c>
      <c r="E10" s="280">
        <f>110/678</f>
        <v>0.16224188790560473</v>
      </c>
      <c r="F10" s="280">
        <f>120/678</f>
        <v>0.17699115044247787</v>
      </c>
      <c r="G10" s="274"/>
      <c r="H10" s="274"/>
    </row>
    <row r="11" spans="1:8" ht="13.9" customHeight="1" thickBot="1" x14ac:dyDescent="0.3">
      <c r="A11" s="273"/>
      <c r="B11" s="279" t="s">
        <v>499</v>
      </c>
      <c r="C11" s="281">
        <v>678</v>
      </c>
      <c r="D11" s="281">
        <v>678</v>
      </c>
      <c r="E11" s="281">
        <v>678</v>
      </c>
      <c r="F11" s="281">
        <v>678</v>
      </c>
      <c r="G11" s="274"/>
      <c r="H11" s="274"/>
    </row>
    <row r="12" spans="1:8" ht="13.9" customHeight="1" thickBot="1" x14ac:dyDescent="0.3">
      <c r="A12" s="273"/>
      <c r="B12" s="279" t="s">
        <v>518</v>
      </c>
      <c r="C12" s="282">
        <f>C11/C13</f>
        <v>2.1868146045671527E-2</v>
      </c>
      <c r="D12" s="282">
        <f t="shared" ref="D12:F12" si="0">D11/D13</f>
        <v>2.1868146045671527E-2</v>
      </c>
      <c r="E12" s="282">
        <f t="shared" si="0"/>
        <v>2.1868146045671527E-2</v>
      </c>
      <c r="F12" s="282">
        <f t="shared" si="0"/>
        <v>2.1868146045671527E-2</v>
      </c>
      <c r="G12" s="274"/>
      <c r="H12" s="274"/>
    </row>
    <row r="13" spans="1:8" ht="13.9" customHeight="1" thickBot="1" x14ac:dyDescent="0.3">
      <c r="A13" s="273"/>
      <c r="B13" s="279" t="s">
        <v>519</v>
      </c>
      <c r="C13" s="281">
        <v>31004</v>
      </c>
      <c r="D13" s="281">
        <v>31004</v>
      </c>
      <c r="E13" s="281">
        <v>31004</v>
      </c>
      <c r="F13" s="281">
        <v>31004</v>
      </c>
      <c r="G13" s="274"/>
      <c r="H13" s="274"/>
    </row>
    <row r="14" spans="1:8" ht="13.9" customHeight="1" thickBot="1" x14ac:dyDescent="0.3">
      <c r="A14" s="273"/>
      <c r="B14" s="279" t="s">
        <v>527</v>
      </c>
      <c r="C14" s="280">
        <f>40/C15</f>
        <v>3.1031807602792862E-2</v>
      </c>
      <c r="D14" s="280">
        <f t="shared" ref="D14:F14" si="1">40/D15</f>
        <v>3.1496062992125984E-2</v>
      </c>
      <c r="E14" s="280">
        <f t="shared" si="1"/>
        <v>3.2000000000000001E-2</v>
      </c>
      <c r="F14" s="280">
        <f t="shared" si="1"/>
        <v>3.2520325203252036E-2</v>
      </c>
      <c r="G14" s="274"/>
      <c r="H14" s="274"/>
    </row>
    <row r="15" spans="1:8" ht="13.9" customHeight="1" thickBot="1" x14ac:dyDescent="0.3">
      <c r="A15" s="273"/>
      <c r="B15" s="279" t="s">
        <v>551</v>
      </c>
      <c r="C15" s="301">
        <v>1289</v>
      </c>
      <c r="D15" s="301">
        <v>1270</v>
      </c>
      <c r="E15" s="301">
        <v>1250</v>
      </c>
      <c r="F15" s="301">
        <v>1230</v>
      </c>
      <c r="G15" s="274"/>
      <c r="H15" s="274"/>
    </row>
    <row r="16" spans="1:8" ht="13.9" customHeight="1" thickBot="1" x14ac:dyDescent="0.3">
      <c r="A16" s="273"/>
      <c r="B16" s="322" t="s">
        <v>501</v>
      </c>
      <c r="C16" s="323">
        <f>C17/C18</f>
        <v>0.41666666666666669</v>
      </c>
      <c r="D16" s="323">
        <f>D17/D18</f>
        <v>0.41666666666666669</v>
      </c>
      <c r="E16" s="323">
        <f t="shared" ref="E16:F16" si="2">E17/E18</f>
        <v>0.41666666666666669</v>
      </c>
      <c r="F16" s="323">
        <f t="shared" si="2"/>
        <v>0.41666666666666669</v>
      </c>
      <c r="G16" s="274"/>
      <c r="H16" s="274"/>
    </row>
    <row r="17" spans="1:9" ht="13.9" customHeight="1" thickBot="1" x14ac:dyDescent="0.3">
      <c r="A17" s="273"/>
      <c r="B17" s="279" t="s">
        <v>520</v>
      </c>
      <c r="C17" s="324">
        <f>40</f>
        <v>40</v>
      </c>
      <c r="D17" s="324">
        <f>40</f>
        <v>40</v>
      </c>
      <c r="E17" s="324">
        <f>40</f>
        <v>40</v>
      </c>
      <c r="F17" s="324">
        <f>40</f>
        <v>40</v>
      </c>
      <c r="G17" s="274"/>
      <c r="H17" s="274"/>
    </row>
    <row r="18" spans="1:9" ht="13.9" customHeight="1" thickBot="1" x14ac:dyDescent="0.3">
      <c r="A18" s="273"/>
      <c r="B18" s="279" t="s">
        <v>521</v>
      </c>
      <c r="C18" s="281">
        <v>96</v>
      </c>
      <c r="D18" s="281">
        <v>96</v>
      </c>
      <c r="E18" s="281">
        <v>96</v>
      </c>
      <c r="F18" s="281">
        <v>96</v>
      </c>
      <c r="G18" s="274"/>
      <c r="H18" s="274"/>
    </row>
    <row r="19" spans="1:9" ht="13.9" customHeight="1" thickBot="1" x14ac:dyDescent="0.3">
      <c r="A19" s="273"/>
      <c r="B19" s="279" t="s">
        <v>507</v>
      </c>
      <c r="C19" s="280">
        <f>100/C20</f>
        <v>7.7579519006982151E-2</v>
      </c>
      <c r="D19" s="280">
        <f>100/D20</f>
        <v>7.874015748031496E-2</v>
      </c>
      <c r="E19" s="280">
        <f>100/E20</f>
        <v>0.08</v>
      </c>
      <c r="F19" s="280">
        <f>100/F20</f>
        <v>8.1300813008130079E-2</v>
      </c>
      <c r="G19" s="274"/>
      <c r="H19" s="274"/>
    </row>
    <row r="20" spans="1:9" ht="13.9" customHeight="1" thickBot="1" x14ac:dyDescent="0.3">
      <c r="A20" s="273"/>
      <c r="B20" s="279" t="s">
        <v>508</v>
      </c>
      <c r="C20" s="301">
        <v>1289</v>
      </c>
      <c r="D20" s="301">
        <v>1270</v>
      </c>
      <c r="E20" s="301">
        <v>1250</v>
      </c>
      <c r="F20" s="301">
        <v>1230</v>
      </c>
      <c r="G20" s="274"/>
      <c r="H20" s="274"/>
    </row>
    <row r="21" spans="1:9" ht="19.899999999999999" customHeight="1" thickBot="1" x14ac:dyDescent="0.3">
      <c r="A21" s="273"/>
      <c r="B21" s="329" t="s">
        <v>524</v>
      </c>
      <c r="C21" s="328">
        <v>2.0770234367104894E-2</v>
      </c>
      <c r="D21" s="328">
        <v>2.0023435073329564E-2</v>
      </c>
      <c r="E21" s="328">
        <v>1.9441531765051107E-2</v>
      </c>
      <c r="F21" s="328">
        <v>1.9556304422689033E-2</v>
      </c>
      <c r="G21" s="274"/>
      <c r="H21" s="274"/>
    </row>
    <row r="22" spans="1:9" ht="19.899999999999999" customHeight="1" thickBot="1" x14ac:dyDescent="0.3">
      <c r="A22" s="273"/>
      <c r="B22" s="279" t="s">
        <v>525</v>
      </c>
      <c r="C22" s="327">
        <v>797042</v>
      </c>
      <c r="D22" s="327">
        <v>787042</v>
      </c>
      <c r="E22" s="327">
        <v>795042</v>
      </c>
      <c r="F22" s="327">
        <v>795042</v>
      </c>
      <c r="G22" s="274"/>
      <c r="H22" s="274"/>
    </row>
    <row r="23" spans="1:9" s="274" customFormat="1" ht="20.45" customHeight="1" thickBot="1" x14ac:dyDescent="0.3">
      <c r="A23" s="273">
        <v>2</v>
      </c>
      <c r="B23" s="277" t="s">
        <v>22</v>
      </c>
      <c r="C23" s="2172" t="s">
        <v>505</v>
      </c>
      <c r="D23" s="2173"/>
      <c r="E23" s="2173"/>
      <c r="F23" s="2174"/>
    </row>
    <row r="24" spans="1:9" s="274" customFormat="1" ht="20.45" customHeight="1" thickBot="1" x14ac:dyDescent="0.3">
      <c r="A24" s="273"/>
      <c r="B24" s="2169" t="s">
        <v>495</v>
      </c>
      <c r="C24" s="2170"/>
      <c r="D24" s="2170"/>
      <c r="E24" s="2170"/>
      <c r="F24" s="2171"/>
      <c r="G24" s="278"/>
      <c r="I24" s="278"/>
    </row>
    <row r="25" spans="1:9" s="274" customFormat="1" ht="20.45" customHeight="1" thickBot="1" x14ac:dyDescent="0.3">
      <c r="A25" s="273"/>
      <c r="B25" s="279" t="s">
        <v>527</v>
      </c>
      <c r="C25" s="280">
        <f>40/C26</f>
        <v>3.1031807602792862E-2</v>
      </c>
      <c r="D25" s="280">
        <f t="shared" ref="D25:F25" si="3">40/D26</f>
        <v>3.1496062992125984E-2</v>
      </c>
      <c r="E25" s="280">
        <f t="shared" si="3"/>
        <v>3.2000000000000001E-2</v>
      </c>
      <c r="F25" s="280">
        <f t="shared" si="3"/>
        <v>3.2520325203252036E-2</v>
      </c>
    </row>
    <row r="26" spans="1:9" s="274" customFormat="1" ht="20.45" customHeight="1" thickBot="1" x14ac:dyDescent="0.3">
      <c r="A26" s="273"/>
      <c r="B26" s="279" t="s">
        <v>550</v>
      </c>
      <c r="C26" s="301">
        <v>1289</v>
      </c>
      <c r="D26" s="301">
        <v>1270</v>
      </c>
      <c r="E26" s="301">
        <v>1250</v>
      </c>
      <c r="F26" s="301">
        <v>1230</v>
      </c>
    </row>
    <row r="27" spans="1:9" s="274" customFormat="1" ht="20.45" customHeight="1" thickBot="1" x14ac:dyDescent="0.3">
      <c r="A27" s="273"/>
      <c r="B27" s="322" t="s">
        <v>501</v>
      </c>
      <c r="C27" s="323">
        <f>C28/C29</f>
        <v>0.41666666666666669</v>
      </c>
      <c r="D27" s="323">
        <f>D28/D29</f>
        <v>0.41666666666666669</v>
      </c>
      <c r="E27" s="323">
        <f t="shared" ref="E27:F27" si="4">E28/E29</f>
        <v>0.41666666666666669</v>
      </c>
      <c r="F27" s="323">
        <f t="shared" si="4"/>
        <v>0.41666666666666669</v>
      </c>
    </row>
    <row r="28" spans="1:9" s="274" customFormat="1" ht="20.45" customHeight="1" thickBot="1" x14ac:dyDescent="0.3">
      <c r="A28" s="273"/>
      <c r="B28" s="279" t="s">
        <v>520</v>
      </c>
      <c r="C28" s="324">
        <f>40</f>
        <v>40</v>
      </c>
      <c r="D28" s="324">
        <f>40</f>
        <v>40</v>
      </c>
      <c r="E28" s="324">
        <f>40</f>
        <v>40</v>
      </c>
      <c r="F28" s="324">
        <f>40</f>
        <v>40</v>
      </c>
    </row>
    <row r="29" spans="1:9" s="274" customFormat="1" ht="20.45" customHeight="1" thickBot="1" x14ac:dyDescent="0.3">
      <c r="A29" s="273"/>
      <c r="B29" s="279" t="s">
        <v>521</v>
      </c>
      <c r="C29" s="281">
        <v>96</v>
      </c>
      <c r="D29" s="281">
        <v>96</v>
      </c>
      <c r="E29" s="281">
        <v>96</v>
      </c>
      <c r="F29" s="281">
        <v>96</v>
      </c>
    </row>
    <row r="30" spans="1:9" s="274" customFormat="1" ht="20.45" customHeight="1" thickBot="1" x14ac:dyDescent="0.3">
      <c r="A30" s="273"/>
      <c r="B30" s="2146" t="s">
        <v>67</v>
      </c>
      <c r="C30" s="2147"/>
      <c r="D30" s="2147"/>
      <c r="E30" s="2147"/>
      <c r="F30" s="2148"/>
    </row>
    <row r="31" spans="1:9" s="274" customFormat="1" ht="20.45" customHeight="1" thickBot="1" x14ac:dyDescent="0.3">
      <c r="A31" s="273"/>
      <c r="B31" s="2146" t="s">
        <v>121</v>
      </c>
      <c r="C31" s="2147"/>
      <c r="D31" s="2147"/>
      <c r="E31" s="2147"/>
      <c r="F31" s="2148"/>
    </row>
    <row r="32" spans="1:9" s="274" customFormat="1" ht="30.6" customHeight="1" thickBot="1" x14ac:dyDescent="0.3">
      <c r="A32" s="273"/>
      <c r="B32" s="299" t="s">
        <v>45</v>
      </c>
      <c r="C32" s="2143" t="s">
        <v>502</v>
      </c>
      <c r="D32" s="2144"/>
      <c r="E32" s="2144"/>
      <c r="F32" s="2145"/>
    </row>
    <row r="33" spans="1:10" s="274" customFormat="1" ht="40.9" customHeight="1" thickBot="1" x14ac:dyDescent="0.3">
      <c r="A33" s="273"/>
      <c r="B33" s="1157" t="s">
        <v>10</v>
      </c>
      <c r="C33" s="2143" t="s">
        <v>496</v>
      </c>
      <c r="D33" s="2144"/>
      <c r="E33" s="2144"/>
      <c r="F33" s="2145"/>
    </row>
    <row r="34" spans="1:10" s="274" customFormat="1" ht="20.45" customHeight="1" thickBot="1" x14ac:dyDescent="0.3">
      <c r="A34" s="273"/>
      <c r="B34" s="1157" t="s">
        <v>13</v>
      </c>
      <c r="C34" s="2129" t="s">
        <v>514</v>
      </c>
      <c r="D34" s="2130"/>
      <c r="E34" s="2130"/>
      <c r="F34" s="2131"/>
    </row>
    <row r="35" spans="1:10" s="274" customFormat="1" ht="20.45" customHeight="1" x14ac:dyDescent="0.25">
      <c r="A35" s="273"/>
      <c r="B35" s="2132"/>
      <c r="C35" s="285">
        <v>2018</v>
      </c>
      <c r="D35" s="285">
        <v>2019</v>
      </c>
      <c r="E35" s="285">
        <v>2020</v>
      </c>
      <c r="F35" s="285">
        <v>2021</v>
      </c>
    </row>
    <row r="36" spans="1:10" s="274" customFormat="1" ht="20.45" customHeight="1" thickBot="1" x14ac:dyDescent="0.3">
      <c r="A36" s="273"/>
      <c r="B36" s="2133"/>
      <c r="C36" s="286" t="s">
        <v>6</v>
      </c>
      <c r="D36" s="286" t="s">
        <v>7</v>
      </c>
      <c r="E36" s="286" t="s">
        <v>7</v>
      </c>
      <c r="F36" s="286" t="s">
        <v>7</v>
      </c>
    </row>
    <row r="37" spans="1:10" s="274" customFormat="1" ht="20.45" customHeight="1" thickBot="1" x14ac:dyDescent="0.3">
      <c r="A37" s="273"/>
      <c r="B37" s="1143" t="s">
        <v>9</v>
      </c>
      <c r="C37" s="286">
        <v>80</v>
      </c>
      <c r="D37" s="286">
        <v>80</v>
      </c>
      <c r="E37" s="286">
        <v>80</v>
      </c>
      <c r="F37" s="286">
        <v>80</v>
      </c>
    </row>
    <row r="38" spans="1:10" s="274" customFormat="1" ht="20.45" customHeight="1" thickBot="1" x14ac:dyDescent="0.3">
      <c r="A38" s="273"/>
      <c r="B38" s="1157" t="s">
        <v>14</v>
      </c>
      <c r="C38" s="288">
        <f>'01110 PM Form 2 PolAktual 19-21'!C81-'Formati 2.1 01110'!C73</f>
        <v>0</v>
      </c>
      <c r="D38" s="288">
        <v>4405.5299999999988</v>
      </c>
      <c r="E38" s="288">
        <v>9882.5555000000095</v>
      </c>
      <c r="F38" s="288">
        <v>16919.193125000005</v>
      </c>
    </row>
    <row r="39" spans="1:10" s="274" customFormat="1" ht="20.45" customHeight="1" thickBot="1" x14ac:dyDescent="0.3">
      <c r="A39" s="273"/>
      <c r="B39" s="1157" t="s">
        <v>23</v>
      </c>
      <c r="C39" s="288">
        <v>660.63</v>
      </c>
      <c r="D39" s="288">
        <v>660.63</v>
      </c>
      <c r="E39" s="288">
        <v>660.63</v>
      </c>
      <c r="F39" s="288">
        <v>660.63</v>
      </c>
    </row>
    <row r="40" spans="1:10" s="274" customFormat="1" ht="20.45" customHeight="1" thickBot="1" x14ac:dyDescent="0.3">
      <c r="A40" s="273"/>
      <c r="B40" s="1157" t="s">
        <v>15</v>
      </c>
      <c r="C40" s="1143" t="s">
        <v>21</v>
      </c>
      <c r="D40" s="289">
        <f>D37/C37-1</f>
        <v>0</v>
      </c>
      <c r="E40" s="289">
        <f t="shared" ref="E40:F42" si="5">E37/D37-1</f>
        <v>0</v>
      </c>
      <c r="F40" s="289">
        <f t="shared" si="5"/>
        <v>0</v>
      </c>
    </row>
    <row r="41" spans="1:10" s="274" customFormat="1" ht="20.45" customHeight="1" thickBot="1" x14ac:dyDescent="0.3">
      <c r="A41" s="273"/>
      <c r="B41" s="1157" t="s">
        <v>16</v>
      </c>
      <c r="C41" s="1143" t="s">
        <v>21</v>
      </c>
      <c r="D41" s="289" t="e">
        <f>D38/C38-1</f>
        <v>#DIV/0!</v>
      </c>
      <c r="E41" s="289">
        <f t="shared" si="5"/>
        <v>1.2432160262215923</v>
      </c>
      <c r="F41" s="289">
        <f t="shared" si="5"/>
        <v>0.71202611763728418</v>
      </c>
    </row>
    <row r="42" spans="1:10" s="274" customFormat="1" ht="20.45" customHeight="1" thickBot="1" x14ac:dyDescent="0.3">
      <c r="A42" s="273"/>
      <c r="B42" s="1157" t="s">
        <v>17</v>
      </c>
      <c r="C42" s="1143" t="s">
        <v>21</v>
      </c>
      <c r="D42" s="289">
        <f>D39/C39-1</f>
        <v>0</v>
      </c>
      <c r="E42" s="289">
        <f t="shared" si="5"/>
        <v>0</v>
      </c>
      <c r="F42" s="289">
        <f t="shared" si="5"/>
        <v>0</v>
      </c>
    </row>
    <row r="43" spans="1:10" s="274" customFormat="1" ht="20.45" customHeight="1" thickBot="1" x14ac:dyDescent="0.3">
      <c r="A43" s="273"/>
      <c r="B43" s="2134" t="s">
        <v>503</v>
      </c>
      <c r="C43" s="2135"/>
      <c r="D43" s="2135"/>
      <c r="E43" s="2135"/>
      <c r="F43" s="2136"/>
    </row>
    <row r="44" spans="1:10" s="274" customFormat="1" ht="20.45" customHeight="1" x14ac:dyDescent="0.25">
      <c r="A44" s="273"/>
      <c r="B44" s="2132"/>
      <c r="C44" s="285">
        <v>2018</v>
      </c>
      <c r="D44" s="285">
        <v>2019</v>
      </c>
      <c r="E44" s="285">
        <v>2020</v>
      </c>
      <c r="F44" s="285">
        <v>2021</v>
      </c>
    </row>
    <row r="45" spans="1:10" s="274" customFormat="1" ht="20.45" customHeight="1" thickBot="1" x14ac:dyDescent="0.3">
      <c r="A45" s="273"/>
      <c r="B45" s="2133"/>
      <c r="C45" s="286" t="s">
        <v>6</v>
      </c>
      <c r="D45" s="286" t="s">
        <v>7</v>
      </c>
      <c r="E45" s="286" t="s">
        <v>7</v>
      </c>
      <c r="F45" s="286" t="s">
        <v>7</v>
      </c>
      <c r="G45" s="1165"/>
      <c r="H45" s="1165"/>
      <c r="I45" s="1165"/>
    </row>
    <row r="46" spans="1:10" s="274" customFormat="1" ht="20.45" customHeight="1" thickBot="1" x14ac:dyDescent="0.3">
      <c r="A46" s="273"/>
      <c r="B46" s="291" t="s">
        <v>0</v>
      </c>
      <c r="C46" s="292">
        <f>'01110 PM Form 2 PolAktual 19-21'!C89-'Formati 2.1 01110'!C81</f>
        <v>0</v>
      </c>
      <c r="D46" s="292">
        <f>'01110 PM Form 2 PolAktual 19-21'!D89-'Formati 2.1 01110'!D81</f>
        <v>3048.4000000000015</v>
      </c>
      <c r="E46" s="292">
        <f>'01110 PM Form 2 PolAktual 19-21'!E89-'Formati 2.1 01110'!E81</f>
        <v>6401.6400000000067</v>
      </c>
      <c r="F46" s="292">
        <f>'01110 PM Form 2 PolAktual 19-21'!F89-'Formati 2.1 01110'!F81</f>
        <v>11934.486000000004</v>
      </c>
      <c r="G46" s="1161"/>
      <c r="H46" s="1161"/>
      <c r="I46" s="1161"/>
      <c r="J46" s="274">
        <f>C46*1.4</f>
        <v>0</v>
      </c>
    </row>
    <row r="47" spans="1:10" s="274" customFormat="1" ht="20.45" customHeight="1" thickBot="1" x14ac:dyDescent="0.3">
      <c r="A47" s="273"/>
      <c r="B47" s="9" t="s">
        <v>51</v>
      </c>
      <c r="C47" s="1163" t="s">
        <v>21</v>
      </c>
      <c r="D47" s="1164">
        <v>7.7115042573320691E-2</v>
      </c>
      <c r="E47" s="1164">
        <v>7.8120054393872262E-2</v>
      </c>
      <c r="F47" s="1164">
        <v>0.11416564892755687</v>
      </c>
      <c r="G47" s="1161"/>
      <c r="H47" s="1161"/>
      <c r="I47" s="1161"/>
    </row>
    <row r="48" spans="1:10" s="274" customFormat="1" ht="20.45" customHeight="1" thickBot="1" x14ac:dyDescent="0.3">
      <c r="A48" s="273"/>
      <c r="B48" s="9" t="s">
        <v>107</v>
      </c>
      <c r="C48" s="1163" t="s">
        <v>21</v>
      </c>
      <c r="D48" s="289">
        <v>0</v>
      </c>
      <c r="E48" s="289">
        <v>0</v>
      </c>
      <c r="F48" s="289">
        <v>0</v>
      </c>
      <c r="G48" s="1161"/>
      <c r="H48" s="1161"/>
      <c r="I48" s="1161"/>
    </row>
    <row r="49" spans="1:10" s="274" customFormat="1" ht="20.45" customHeight="1" thickBot="1" x14ac:dyDescent="0.3">
      <c r="A49" s="273"/>
      <c r="B49" s="291" t="s">
        <v>49</v>
      </c>
      <c r="C49" s="292">
        <f>'01110 PM Form 2 PolAktual 19-21'!C92-'Formati 2.1 01110'!C82</f>
        <v>0</v>
      </c>
      <c r="D49" s="292">
        <f>'01110 PM Form 2 PolAktual 19-21'!D92-'Formati 2.1 01110'!D82</f>
        <v>509.08000000000084</v>
      </c>
      <c r="E49" s="292">
        <f>'01110 PM Form 2 PolAktual 19-21'!E92-'Formati 2.1 01110'!E82</f>
        <v>1069.0680000000011</v>
      </c>
      <c r="F49" s="292">
        <f>'01110 PM Form 2 PolAktual 19-21'!F92-'Formati 2.1 01110'!F82</f>
        <v>1993.0482000000011</v>
      </c>
      <c r="G49" s="1161"/>
      <c r="H49" s="1161"/>
      <c r="I49" s="1161"/>
      <c r="J49" s="274">
        <f>C49*1.4</f>
        <v>0</v>
      </c>
    </row>
    <row r="50" spans="1:10" s="274" customFormat="1" ht="20.45" customHeight="1" thickBot="1" x14ac:dyDescent="0.3">
      <c r="A50" s="273"/>
      <c r="B50" s="9" t="s">
        <v>53</v>
      </c>
      <c r="C50" s="1163" t="s">
        <v>21</v>
      </c>
      <c r="D50" s="1164">
        <v>7.7115042573320691E-2</v>
      </c>
      <c r="E50" s="1164">
        <v>7.8120054393872262E-2</v>
      </c>
      <c r="F50" s="1164">
        <v>0.11416564892755687</v>
      </c>
      <c r="G50" s="1161"/>
      <c r="H50" s="1161"/>
      <c r="I50" s="1161"/>
    </row>
    <row r="51" spans="1:10" s="274" customFormat="1" ht="20.45" customHeight="1" thickBot="1" x14ac:dyDescent="0.3">
      <c r="A51" s="273"/>
      <c r="B51" s="9" t="s">
        <v>108</v>
      </c>
      <c r="C51" s="1163" t="s">
        <v>21</v>
      </c>
      <c r="D51" s="289">
        <v>0</v>
      </c>
      <c r="E51" s="289">
        <v>0</v>
      </c>
      <c r="F51" s="289">
        <v>0</v>
      </c>
      <c r="G51" s="1161"/>
      <c r="H51" s="1161"/>
      <c r="I51" s="1161"/>
    </row>
    <row r="52" spans="1:10" s="274" customFormat="1" ht="20.45" customHeight="1" thickBot="1" x14ac:dyDescent="0.3">
      <c r="A52" s="273"/>
      <c r="B52" s="291" t="s">
        <v>1</v>
      </c>
      <c r="C52" s="293">
        <f>'01110 PM Form 2 PolAktual 19-21'!C95-'Formati 2.1 01110'!C83</f>
        <v>0</v>
      </c>
      <c r="D52" s="1507">
        <f>'01110 PM Form 2 PolAktual 19-21'!D95-'Formati 2.1 01110'!D83+330</f>
        <v>848.25</v>
      </c>
      <c r="E52" s="1507">
        <f>'01110 PM Form 2 PolAktual 19-21'!E95-'Formati 2.1 01110'!E83+1360</f>
        <v>2412.0475000000006</v>
      </c>
      <c r="F52" s="1507">
        <f>'01110 PM Form 2 PolAktual 19-21'!F95-'Formati 2.1 01110'!F83+1390</f>
        <v>2991.8589250000005</v>
      </c>
      <c r="G52" s="1161"/>
      <c r="H52" s="1161"/>
      <c r="I52" s="1161"/>
    </row>
    <row r="53" spans="1:10" s="274" customFormat="1" ht="20.45" customHeight="1" thickBot="1" x14ac:dyDescent="0.3">
      <c r="A53" s="273"/>
      <c r="B53" s="9" t="s">
        <v>56</v>
      </c>
      <c r="C53" s="1163" t="s">
        <v>21</v>
      </c>
      <c r="D53" s="1164">
        <v>7.7115042573320691E-2</v>
      </c>
      <c r="E53" s="1164">
        <v>7.8120054393872262E-2</v>
      </c>
      <c r="F53" s="1164">
        <v>0.11416564892755687</v>
      </c>
      <c r="G53" s="1506"/>
      <c r="H53" s="1506"/>
      <c r="I53" s="1506"/>
    </row>
    <row r="54" spans="1:10" s="274" customFormat="1" ht="20.45" customHeight="1" thickBot="1" x14ac:dyDescent="0.3">
      <c r="A54" s="273"/>
      <c r="B54" s="9" t="s">
        <v>109</v>
      </c>
      <c r="C54" s="1163" t="s">
        <v>21</v>
      </c>
      <c r="D54" s="1164">
        <v>0</v>
      </c>
      <c r="E54" s="1164">
        <v>0</v>
      </c>
      <c r="F54" s="1164">
        <v>0</v>
      </c>
      <c r="G54" s="1161"/>
      <c r="H54" s="1161"/>
      <c r="I54" s="1161"/>
    </row>
    <row r="55" spans="1:10" s="274" customFormat="1" ht="20.45" customHeight="1" thickBot="1" x14ac:dyDescent="0.3">
      <c r="A55" s="273"/>
      <c r="B55" s="291" t="s">
        <v>2</v>
      </c>
      <c r="C55" s="293">
        <v>0</v>
      </c>
      <c r="D55" s="293">
        <v>0</v>
      </c>
      <c r="E55" s="293">
        <v>0</v>
      </c>
      <c r="F55" s="293">
        <v>0</v>
      </c>
    </row>
    <row r="56" spans="1:10" s="274" customFormat="1" ht="20.45" customHeight="1" thickBot="1" x14ac:dyDescent="0.3">
      <c r="A56" s="273"/>
      <c r="B56" s="291" t="s">
        <v>28</v>
      </c>
      <c r="C56" s="293">
        <v>0</v>
      </c>
      <c r="D56" s="293">
        <v>0</v>
      </c>
      <c r="E56" s="293">
        <v>0</v>
      </c>
      <c r="F56" s="293">
        <v>0</v>
      </c>
    </row>
    <row r="57" spans="1:10" s="274" customFormat="1" ht="20.45" customHeight="1" thickBot="1" x14ac:dyDescent="0.3">
      <c r="A57" s="273"/>
      <c r="B57" s="291" t="s">
        <v>30</v>
      </c>
      <c r="C57" s="293">
        <v>0</v>
      </c>
      <c r="D57" s="293">
        <v>0</v>
      </c>
      <c r="E57" s="293">
        <v>0</v>
      </c>
      <c r="F57" s="293">
        <v>0</v>
      </c>
    </row>
    <row r="58" spans="1:10" s="274" customFormat="1" ht="20.45" customHeight="1" thickBot="1" x14ac:dyDescent="0.3">
      <c r="A58" s="273"/>
      <c r="B58" s="291" t="s">
        <v>3</v>
      </c>
      <c r="C58" s="293">
        <v>0</v>
      </c>
      <c r="D58" s="293">
        <v>0</v>
      </c>
      <c r="E58" s="293">
        <v>0</v>
      </c>
      <c r="F58" s="293">
        <v>0</v>
      </c>
    </row>
    <row r="59" spans="1:10" s="274" customFormat="1" ht="20.45" customHeight="1" thickBot="1" x14ac:dyDescent="0.3">
      <c r="A59" s="273"/>
      <c r="B59" s="325" t="s">
        <v>68</v>
      </c>
      <c r="C59" s="293">
        <f>C58+C57+C56+C55+C52+C49+C46</f>
        <v>0</v>
      </c>
      <c r="D59" s="293">
        <f>D58+D57+D56+D55+D52+D49+D46</f>
        <v>4405.7300000000023</v>
      </c>
      <c r="E59" s="293">
        <f>E58+E57+E56+E55+E52+E49+E46</f>
        <v>9882.7555000000084</v>
      </c>
      <c r="F59" s="293">
        <f>F58+F57+F56+F55+F52+F49+F46</f>
        <v>16919.393125000006</v>
      </c>
    </row>
    <row r="60" spans="1:10" s="274" customFormat="1" ht="20.45" customHeight="1" thickBot="1" x14ac:dyDescent="0.3">
      <c r="A60" s="273"/>
      <c r="B60" s="296" t="s">
        <v>70</v>
      </c>
      <c r="C60" s="297">
        <f>C38-C59</f>
        <v>0</v>
      </c>
      <c r="D60" s="297">
        <f>D38-D59</f>
        <v>-0.20000000000345608</v>
      </c>
      <c r="E60" s="297">
        <f t="shared" ref="E60:F60" si="6">E38-E59</f>
        <v>-0.19999999999890861</v>
      </c>
      <c r="F60" s="297">
        <f t="shared" si="6"/>
        <v>-0.2000000000007276</v>
      </c>
    </row>
    <row r="61" spans="1:10" ht="45.6" customHeight="1" thickBot="1" x14ac:dyDescent="0.3">
      <c r="A61" s="303">
        <v>4</v>
      </c>
      <c r="B61" s="277" t="s">
        <v>512</v>
      </c>
      <c r="C61" s="2143" t="s">
        <v>954</v>
      </c>
      <c r="D61" s="2144"/>
      <c r="E61" s="2144"/>
      <c r="F61" s="2145"/>
      <c r="G61" s="274"/>
      <c r="H61" s="274"/>
    </row>
    <row r="62" spans="1:10" ht="13.9" customHeight="1" thickBot="1" x14ac:dyDescent="0.3">
      <c r="A62" s="273"/>
      <c r="B62" s="2166" t="s">
        <v>537</v>
      </c>
      <c r="C62" s="2167"/>
      <c r="D62" s="2167"/>
      <c r="E62" s="2167"/>
      <c r="F62" s="2168"/>
      <c r="G62" s="274"/>
      <c r="H62" s="274"/>
    </row>
    <row r="63" spans="1:10" ht="13.9" customHeight="1" thickBot="1" x14ac:dyDescent="0.3">
      <c r="A63" s="273"/>
      <c r="B63" s="279" t="s">
        <v>522</v>
      </c>
      <c r="C63" s="282">
        <f>C64/C65</f>
        <v>2.0739259450393496E-2</v>
      </c>
      <c r="D63" s="282">
        <f t="shared" ref="D63:F63" si="7">D64/D65</f>
        <v>2.0739259450393496E-2</v>
      </c>
      <c r="E63" s="282">
        <f t="shared" si="7"/>
        <v>2.0739259450393496E-2</v>
      </c>
      <c r="F63" s="282">
        <f t="shared" si="7"/>
        <v>2.0739259450393496E-2</v>
      </c>
      <c r="G63" s="274"/>
      <c r="H63" s="274"/>
    </row>
    <row r="64" spans="1:10" ht="13.9" customHeight="1" thickBot="1" x14ac:dyDescent="0.3">
      <c r="A64" s="273"/>
      <c r="B64" s="322" t="s">
        <v>528</v>
      </c>
      <c r="C64" s="330">
        <v>643</v>
      </c>
      <c r="D64" s="330">
        <v>643</v>
      </c>
      <c r="E64" s="330">
        <v>643</v>
      </c>
      <c r="F64" s="330">
        <v>643</v>
      </c>
      <c r="G64" s="274"/>
      <c r="H64" s="274"/>
    </row>
    <row r="65" spans="1:9" ht="13.9" customHeight="1" thickBot="1" x14ac:dyDescent="0.3">
      <c r="A65" s="273"/>
      <c r="B65" s="279" t="s">
        <v>523</v>
      </c>
      <c r="C65" s="298">
        <v>31004</v>
      </c>
      <c r="D65" s="298">
        <v>31004</v>
      </c>
      <c r="E65" s="298">
        <v>31004</v>
      </c>
      <c r="F65" s="298">
        <v>31004</v>
      </c>
      <c r="G65" s="274"/>
      <c r="H65" s="274"/>
    </row>
    <row r="66" spans="1:9" ht="13.9" customHeight="1" thickBot="1" x14ac:dyDescent="0.3">
      <c r="A66" s="273"/>
      <c r="B66" s="329" t="s">
        <v>524</v>
      </c>
      <c r="C66" s="328">
        <f>C67/C70</f>
        <v>2.0770234367104894E-2</v>
      </c>
      <c r="D66" s="328">
        <f t="shared" ref="D66:F66" si="8">D67/D70</f>
        <v>2.0023435073329564E-2</v>
      </c>
      <c r="E66" s="328">
        <f t="shared" si="8"/>
        <v>1.9441531765051107E-2</v>
      </c>
      <c r="F66" s="328">
        <f t="shared" si="8"/>
        <v>1.9556304422689033E-2</v>
      </c>
      <c r="G66" s="274"/>
      <c r="H66" s="274"/>
    </row>
    <row r="67" spans="1:9" ht="13.9" customHeight="1" thickBot="1" x14ac:dyDescent="0.3">
      <c r="A67" s="273"/>
      <c r="B67" s="279" t="s">
        <v>958</v>
      </c>
      <c r="C67" s="1175">
        <v>797042</v>
      </c>
      <c r="D67" s="1175">
        <v>787042</v>
      </c>
      <c r="E67" s="1175">
        <v>795042</v>
      </c>
      <c r="F67" s="1175">
        <v>795042</v>
      </c>
      <c r="G67" s="274"/>
      <c r="H67" s="274"/>
    </row>
    <row r="68" spans="1:9" ht="13.9" customHeight="1" thickBot="1" x14ac:dyDescent="0.3">
      <c r="A68" s="273"/>
      <c r="B68" s="1176" t="s">
        <v>959</v>
      </c>
      <c r="C68" s="1177">
        <v>0</v>
      </c>
      <c r="D68" s="1177">
        <f>D197</f>
        <v>124682.60838999998</v>
      </c>
      <c r="E68" s="1177">
        <f t="shared" ref="E68:F68" si="9">E197</f>
        <v>193297.87699999998</v>
      </c>
      <c r="F68" s="1177">
        <f t="shared" si="9"/>
        <v>276651.25178526994</v>
      </c>
      <c r="G68" s="274"/>
      <c r="H68" s="274"/>
    </row>
    <row r="69" spans="1:9" ht="13.9" customHeight="1" thickBot="1" x14ac:dyDescent="0.3">
      <c r="A69" s="273"/>
      <c r="B69" s="1176" t="s">
        <v>960</v>
      </c>
      <c r="C69" s="1178">
        <f>C68/C67</f>
        <v>0</v>
      </c>
      <c r="D69" s="1178">
        <f>D68/D67</f>
        <v>0.15841925639292437</v>
      </c>
      <c r="E69" s="1178">
        <f t="shared" ref="E69:F69" si="10">E68/E67</f>
        <v>0.2431291390895072</v>
      </c>
      <c r="F69" s="1178">
        <f t="shared" si="10"/>
        <v>0.34797061260319573</v>
      </c>
      <c r="G69" s="274"/>
      <c r="H69" s="274"/>
    </row>
    <row r="70" spans="1:9" ht="13.9" customHeight="1" thickBot="1" x14ac:dyDescent="0.3">
      <c r="A70" s="273"/>
      <c r="B70" s="279" t="s">
        <v>529</v>
      </c>
      <c r="C70" s="326">
        <v>38374242</v>
      </c>
      <c r="D70" s="326">
        <v>39306043</v>
      </c>
      <c r="E70" s="326">
        <v>40894000</v>
      </c>
      <c r="F70" s="326">
        <v>40654000</v>
      </c>
      <c r="G70" s="274"/>
      <c r="H70" s="274"/>
    </row>
    <row r="71" spans="1:9" ht="13.9" customHeight="1" thickBot="1" x14ac:dyDescent="0.3">
      <c r="A71" s="273"/>
      <c r="B71" s="2146" t="s">
        <v>535</v>
      </c>
      <c r="C71" s="2147"/>
      <c r="D71" s="2147"/>
      <c r="E71" s="2147"/>
      <c r="F71" s="2148"/>
      <c r="G71" s="274"/>
      <c r="H71" s="274"/>
    </row>
    <row r="72" spans="1:9" ht="13.9" customHeight="1" thickBot="1" x14ac:dyDescent="0.3">
      <c r="A72" s="273"/>
      <c r="B72" s="2146" t="s">
        <v>538</v>
      </c>
      <c r="C72" s="2147"/>
      <c r="D72" s="2147"/>
      <c r="E72" s="2147"/>
      <c r="F72" s="2148"/>
      <c r="G72" s="274"/>
      <c r="H72" s="274"/>
    </row>
    <row r="73" spans="1:9" ht="31.15" customHeight="1" thickBot="1" x14ac:dyDescent="0.3">
      <c r="A73" s="273"/>
      <c r="B73" s="299" t="s">
        <v>492</v>
      </c>
      <c r="C73" s="2143" t="s">
        <v>533</v>
      </c>
      <c r="D73" s="2144"/>
      <c r="E73" s="2144"/>
      <c r="F73" s="2145"/>
      <c r="G73" s="274"/>
      <c r="H73" s="274"/>
    </row>
    <row r="74" spans="1:9" ht="37.15" customHeight="1" thickBot="1" x14ac:dyDescent="0.3">
      <c r="A74" s="273"/>
      <c r="B74" s="1141" t="s">
        <v>10</v>
      </c>
      <c r="C74" s="2143" t="s">
        <v>955</v>
      </c>
      <c r="D74" s="2144"/>
      <c r="E74" s="2144"/>
      <c r="F74" s="2145"/>
      <c r="G74" s="274"/>
      <c r="H74" s="274"/>
    </row>
    <row r="75" spans="1:9" ht="13.9" customHeight="1" thickBot="1" x14ac:dyDescent="0.3">
      <c r="A75" s="273"/>
      <c r="B75" s="1141" t="s">
        <v>13</v>
      </c>
      <c r="C75" s="2160" t="s">
        <v>530</v>
      </c>
      <c r="D75" s="2161"/>
      <c r="E75" s="2161"/>
      <c r="F75" s="2162"/>
      <c r="G75" s="274"/>
      <c r="H75" s="274"/>
    </row>
    <row r="76" spans="1:9" ht="13.9" customHeight="1" x14ac:dyDescent="0.25">
      <c r="A76" s="273"/>
      <c r="B76" s="2132"/>
      <c r="C76" s="285">
        <v>2018</v>
      </c>
      <c r="D76" s="285">
        <v>2019</v>
      </c>
      <c r="E76" s="285">
        <v>2020</v>
      </c>
      <c r="F76" s="285">
        <v>2021</v>
      </c>
      <c r="G76" s="274"/>
      <c r="H76" s="274"/>
    </row>
    <row r="77" spans="1:9" ht="13.9" customHeight="1" thickBot="1" x14ac:dyDescent="0.3">
      <c r="A77" s="273"/>
      <c r="B77" s="2133"/>
      <c r="C77" s="286" t="s">
        <v>6</v>
      </c>
      <c r="D77" s="286" t="s">
        <v>7</v>
      </c>
      <c r="E77" s="286" t="s">
        <v>7</v>
      </c>
      <c r="F77" s="286" t="s">
        <v>7</v>
      </c>
      <c r="G77" s="274"/>
      <c r="H77" s="274"/>
    </row>
    <row r="78" spans="1:9" ht="13.9" customHeight="1" thickBot="1" x14ac:dyDescent="0.3">
      <c r="A78" s="273"/>
      <c r="B78" s="1133" t="s">
        <v>9</v>
      </c>
      <c r="C78" s="346">
        <v>0</v>
      </c>
      <c r="D78" s="330">
        <v>643</v>
      </c>
      <c r="E78" s="330">
        <v>643</v>
      </c>
      <c r="F78" s="330">
        <v>643</v>
      </c>
      <c r="G78" s="274"/>
      <c r="H78" s="274"/>
    </row>
    <row r="79" spans="1:9" ht="13.9" customHeight="1" thickBot="1" x14ac:dyDescent="0.3">
      <c r="A79" s="273"/>
      <c r="B79" s="1141" t="s">
        <v>14</v>
      </c>
      <c r="C79" s="347">
        <v>0</v>
      </c>
      <c r="D79" s="347">
        <f>'01110 PM Form 2 PolAktual 19-21'!D156-'Formati 2.1 01110'!D138</f>
        <v>8377.5863899999968</v>
      </c>
      <c r="E79" s="347">
        <f>'01110 PM Form 2 PolAktual 19-21'!E156-'Formati 2.1 01110'!E138</f>
        <v>7577.0803000000014</v>
      </c>
      <c r="F79" s="347">
        <f>'01110 PM Form 2 PolAktual 19-21'!F156-'Formati 2.1 01110'!F138</f>
        <v>11901.781280270006</v>
      </c>
      <c r="G79" s="1162"/>
      <c r="H79" s="1162"/>
      <c r="I79" s="1174"/>
    </row>
    <row r="80" spans="1:9" ht="13.9" customHeight="1" thickBot="1" x14ac:dyDescent="0.3">
      <c r="A80" s="273"/>
      <c r="B80" s="1141" t="s">
        <v>23</v>
      </c>
      <c r="C80" s="287" t="e">
        <f>C79/C78</f>
        <v>#DIV/0!</v>
      </c>
      <c r="D80" s="287">
        <f t="shared" ref="D80:F80" si="11">D79/D78</f>
        <v>13.028905738724722</v>
      </c>
      <c r="E80" s="287">
        <f t="shared" si="11"/>
        <v>11.783950699844482</v>
      </c>
      <c r="F80" s="287">
        <f t="shared" si="11"/>
        <v>18.509768709595654</v>
      </c>
      <c r="G80" s="274"/>
      <c r="H80" s="274"/>
    </row>
    <row r="81" spans="1:10" ht="13.9" customHeight="1" thickBot="1" x14ac:dyDescent="0.3">
      <c r="A81" s="273"/>
      <c r="B81" s="1141" t="s">
        <v>15</v>
      </c>
      <c r="C81" s="1133" t="s">
        <v>21</v>
      </c>
      <c r="D81" s="289" t="e">
        <f>D78/C78-1</f>
        <v>#DIV/0!</v>
      </c>
      <c r="E81" s="289">
        <f t="shared" ref="E81:F83" si="12">E78/D78-1</f>
        <v>0</v>
      </c>
      <c r="F81" s="289">
        <f t="shared" si="12"/>
        <v>0</v>
      </c>
      <c r="G81" s="344"/>
      <c r="H81" s="344"/>
      <c r="I81" s="344"/>
      <c r="J81" s="344"/>
    </row>
    <row r="82" spans="1:10" ht="13.9" customHeight="1" thickBot="1" x14ac:dyDescent="0.3">
      <c r="A82" s="273"/>
      <c r="B82" s="1141" t="s">
        <v>16</v>
      </c>
      <c r="C82" s="1133" t="s">
        <v>21</v>
      </c>
      <c r="D82" s="289" t="e">
        <f>D79/C79-1</f>
        <v>#DIV/0!</v>
      </c>
      <c r="E82" s="289">
        <f>E79/D79-1</f>
        <v>-9.5553307687227029E-2</v>
      </c>
      <c r="F82" s="289">
        <f>F79/E79-1</f>
        <v>0.57076087477520909</v>
      </c>
      <c r="G82" s="274"/>
      <c r="H82" s="274"/>
    </row>
    <row r="83" spans="1:10" ht="13.9" customHeight="1" thickBot="1" x14ac:dyDescent="0.3">
      <c r="A83" s="273"/>
      <c r="B83" s="1141" t="s">
        <v>17</v>
      </c>
      <c r="C83" s="1133" t="s">
        <v>21</v>
      </c>
      <c r="D83" s="289" t="e">
        <f>D80/C80-1</f>
        <v>#DIV/0!</v>
      </c>
      <c r="E83" s="289">
        <f t="shared" si="12"/>
        <v>-9.5553307687226918E-2</v>
      </c>
      <c r="F83" s="289">
        <f t="shared" si="12"/>
        <v>0.57076087477520909</v>
      </c>
      <c r="G83" s="274"/>
      <c r="H83" s="274"/>
    </row>
    <row r="84" spans="1:10" ht="13.9" customHeight="1" thickBot="1" x14ac:dyDescent="0.3">
      <c r="A84" s="273"/>
      <c r="B84" s="2134" t="s">
        <v>139</v>
      </c>
      <c r="C84" s="2135"/>
      <c r="D84" s="2135"/>
      <c r="E84" s="2135"/>
      <c r="F84" s="2136"/>
      <c r="G84" s="274"/>
      <c r="H84" s="274"/>
    </row>
    <row r="85" spans="1:10" ht="13.9" customHeight="1" x14ac:dyDescent="0.25">
      <c r="A85" s="273"/>
      <c r="B85" s="2132"/>
      <c r="C85" s="285">
        <v>2018</v>
      </c>
      <c r="D85" s="285">
        <v>2019</v>
      </c>
      <c r="E85" s="285">
        <v>2020</v>
      </c>
      <c r="F85" s="285">
        <v>2021</v>
      </c>
      <c r="G85" s="274"/>
      <c r="H85" s="274"/>
    </row>
    <row r="86" spans="1:10" ht="13.9" customHeight="1" thickBot="1" x14ac:dyDescent="0.3">
      <c r="A86" s="273"/>
      <c r="B86" s="2133"/>
      <c r="C86" s="286" t="s">
        <v>6</v>
      </c>
      <c r="D86" s="286" t="s">
        <v>7</v>
      </c>
      <c r="E86" s="286" t="s">
        <v>7</v>
      </c>
      <c r="F86" s="286" t="s">
        <v>7</v>
      </c>
      <c r="G86" s="274"/>
      <c r="H86" s="274"/>
    </row>
    <row r="87" spans="1:10" ht="13.9" customHeight="1" thickBot="1" x14ac:dyDescent="0.3">
      <c r="A87" s="273"/>
      <c r="B87" s="291" t="s">
        <v>0</v>
      </c>
      <c r="C87" s="292">
        <v>0</v>
      </c>
      <c r="D87" s="292">
        <v>0</v>
      </c>
      <c r="E87" s="292">
        <v>0</v>
      </c>
      <c r="F87" s="292">
        <v>0</v>
      </c>
      <c r="G87" s="274"/>
      <c r="H87" s="274"/>
    </row>
    <row r="88" spans="1:10" ht="13.9" customHeight="1" thickBot="1" x14ac:dyDescent="0.3">
      <c r="A88" s="273"/>
      <c r="B88" s="291" t="s">
        <v>49</v>
      </c>
      <c r="C88" s="292">
        <v>0</v>
      </c>
      <c r="D88" s="292">
        <v>0</v>
      </c>
      <c r="E88" s="292">
        <v>0</v>
      </c>
      <c r="F88" s="292">
        <v>0</v>
      </c>
      <c r="G88" s="274"/>
      <c r="H88" s="274"/>
    </row>
    <row r="89" spans="1:10" ht="13.9" customHeight="1" thickBot="1" x14ac:dyDescent="0.3">
      <c r="A89" s="273"/>
      <c r="B89" s="291" t="s">
        <v>1</v>
      </c>
      <c r="C89" s="293"/>
      <c r="D89" s="1171">
        <f>'01110 PM Form 2 PolAktual 19-21'!D166-'Formati 2.1 01110'!D138</f>
        <v>8377.5863899999968</v>
      </c>
      <c r="E89" s="1171">
        <f>'01110 PM Form 2 PolAktual 19-21'!E166-'Formati 2.1 01110'!E138</f>
        <v>7577.0803000000014</v>
      </c>
      <c r="F89" s="1171">
        <f>'01110 PM Form 2 PolAktual 19-21'!F166-'Formati 2.1 01110'!F138</f>
        <v>11901.781280270006</v>
      </c>
      <c r="G89" s="1161"/>
      <c r="H89" s="1161"/>
      <c r="I89" s="1161"/>
    </row>
    <row r="90" spans="1:10" ht="13.9" customHeight="1" thickBot="1" x14ac:dyDescent="0.3">
      <c r="A90" s="273"/>
      <c r="B90" s="9" t="s">
        <v>56</v>
      </c>
      <c r="C90" s="1163" t="s">
        <v>21</v>
      </c>
      <c r="D90" s="1164">
        <v>0.13770798331532408</v>
      </c>
      <c r="E90" s="1164">
        <v>5.259337878193393E-2</v>
      </c>
      <c r="F90" s="1164">
        <v>3.0893628540722418E-2</v>
      </c>
      <c r="G90" s="1161"/>
      <c r="H90" s="1161"/>
    </row>
    <row r="91" spans="1:10" ht="13.9" customHeight="1" thickBot="1" x14ac:dyDescent="0.3">
      <c r="A91" s="273"/>
      <c r="B91" s="9" t="s">
        <v>109</v>
      </c>
      <c r="C91" s="1163" t="s">
        <v>21</v>
      </c>
      <c r="D91" s="1164">
        <v>0</v>
      </c>
      <c r="E91" s="1164">
        <v>0</v>
      </c>
      <c r="F91" s="1164">
        <v>0</v>
      </c>
      <c r="G91" s="1161"/>
      <c r="H91" s="1161"/>
    </row>
    <row r="92" spans="1:10" ht="13.9" customHeight="1" thickBot="1" x14ac:dyDescent="0.3">
      <c r="A92" s="273"/>
      <c r="B92" s="291" t="s">
        <v>2</v>
      </c>
      <c r="C92" s="293">
        <v>0</v>
      </c>
      <c r="D92" s="293">
        <v>0</v>
      </c>
      <c r="E92" s="293">
        <v>0</v>
      </c>
      <c r="F92" s="293">
        <v>0</v>
      </c>
      <c r="G92" s="274"/>
      <c r="H92" s="274"/>
    </row>
    <row r="93" spans="1:10" ht="13.9" customHeight="1" thickBot="1" x14ac:dyDescent="0.3">
      <c r="A93" s="273"/>
      <c r="B93" s="291" t="s">
        <v>28</v>
      </c>
      <c r="C93" s="293">
        <v>0</v>
      </c>
      <c r="D93" s="293">
        <v>0</v>
      </c>
      <c r="E93" s="293">
        <v>0</v>
      </c>
      <c r="F93" s="293">
        <v>0</v>
      </c>
      <c r="G93" s="274"/>
      <c r="H93" s="274"/>
    </row>
    <row r="94" spans="1:10" ht="13.9" customHeight="1" thickBot="1" x14ac:dyDescent="0.3">
      <c r="A94" s="273"/>
      <c r="B94" s="291" t="s">
        <v>30</v>
      </c>
      <c r="C94" s="293">
        <v>0</v>
      </c>
      <c r="D94" s="293">
        <v>0</v>
      </c>
      <c r="E94" s="293">
        <v>0</v>
      </c>
      <c r="F94" s="293">
        <v>0</v>
      </c>
      <c r="G94" s="274"/>
      <c r="H94" s="274"/>
    </row>
    <row r="95" spans="1:10" ht="13.9" customHeight="1" thickBot="1" x14ac:dyDescent="0.3">
      <c r="A95" s="273"/>
      <c r="B95" s="291" t="s">
        <v>3</v>
      </c>
      <c r="C95" s="293">
        <f>'01110 PM Form 2 PolAktual 19-21'!C172-'Formati 2.1 01110'!C152</f>
        <v>0</v>
      </c>
      <c r="D95" s="293">
        <f>'01110 PM Form 2 PolAktual 19-21'!D172-'Formati 2.1 01110'!D152</f>
        <v>0</v>
      </c>
      <c r="E95" s="293">
        <f>'01110 PM Form 2 PolAktual 19-21'!E172-'Formati 2.1 01110'!E152</f>
        <v>0</v>
      </c>
      <c r="F95" s="293">
        <f>'01110 PM Form 2 PolAktual 19-21'!F172-'Formati 2.1 01110'!F152</f>
        <v>0</v>
      </c>
      <c r="G95" s="274"/>
      <c r="H95" s="274"/>
    </row>
    <row r="96" spans="1:10" ht="13.9" customHeight="1" thickBot="1" x14ac:dyDescent="0.3">
      <c r="A96" s="273"/>
      <c r="B96" s="300" t="s">
        <v>71</v>
      </c>
      <c r="C96" s="293">
        <f>C95+C94+C93+C92+C89+C88+C87</f>
        <v>0</v>
      </c>
      <c r="D96" s="293">
        <f>D95+D94+D93+D92+D89+D88+D87</f>
        <v>8377.5863899999968</v>
      </c>
      <c r="E96" s="293">
        <f>E95+E94+E93+E92+E89+E88+E87</f>
        <v>7577.0803000000014</v>
      </c>
      <c r="F96" s="293">
        <f>F95+F94+F93+F92+F89+F88+F87</f>
        <v>11901.781280270006</v>
      </c>
      <c r="G96" s="274"/>
      <c r="H96" s="274"/>
    </row>
    <row r="97" spans="1:9" ht="13.9" customHeight="1" thickBot="1" x14ac:dyDescent="0.3">
      <c r="A97" s="273"/>
      <c r="B97" s="296" t="s">
        <v>70</v>
      </c>
      <c r="C97" s="297">
        <f>C79-C96</f>
        <v>0</v>
      </c>
      <c r="D97" s="297">
        <f>D79-D96</f>
        <v>0</v>
      </c>
      <c r="E97" s="297">
        <f t="shared" ref="E97:F97" si="13">E79-E96</f>
        <v>0</v>
      </c>
      <c r="F97" s="297">
        <f t="shared" si="13"/>
        <v>0</v>
      </c>
      <c r="G97" s="274"/>
      <c r="H97" s="274"/>
    </row>
    <row r="98" spans="1:9" ht="13.9" customHeight="1" thickBot="1" x14ac:dyDescent="0.3">
      <c r="A98" s="273"/>
      <c r="B98" s="2146" t="s">
        <v>535</v>
      </c>
      <c r="C98" s="2147"/>
      <c r="D98" s="2147"/>
      <c r="E98" s="2147"/>
      <c r="F98" s="2148"/>
      <c r="G98" s="274"/>
      <c r="H98" s="274"/>
    </row>
    <row r="99" spans="1:9" ht="13.9" customHeight="1" thickBot="1" x14ac:dyDescent="0.3">
      <c r="A99" s="273"/>
      <c r="B99" s="2146" t="s">
        <v>121</v>
      </c>
      <c r="C99" s="2147"/>
      <c r="D99" s="2147"/>
      <c r="E99" s="2147"/>
      <c r="F99" s="2148"/>
      <c r="G99" s="274"/>
      <c r="H99" s="274"/>
    </row>
    <row r="100" spans="1:9" ht="30.6" customHeight="1" thickBot="1" x14ac:dyDescent="0.3">
      <c r="A100" s="273"/>
      <c r="B100" s="299" t="s">
        <v>492</v>
      </c>
      <c r="C100" s="2143" t="s">
        <v>531</v>
      </c>
      <c r="D100" s="2144"/>
      <c r="E100" s="2144"/>
      <c r="F100" s="2145"/>
      <c r="G100" s="274"/>
      <c r="H100" s="274"/>
    </row>
    <row r="101" spans="1:9" ht="73.900000000000006" customHeight="1" thickBot="1" x14ac:dyDescent="0.3">
      <c r="A101" s="273"/>
      <c r="B101" s="1141" t="s">
        <v>10</v>
      </c>
      <c r="C101" s="2143" t="s">
        <v>956</v>
      </c>
      <c r="D101" s="2144"/>
      <c r="E101" s="2144"/>
      <c r="F101" s="2145"/>
      <c r="G101" s="274"/>
      <c r="H101" s="274"/>
    </row>
    <row r="102" spans="1:9" ht="13.9" customHeight="1" thickBot="1" x14ac:dyDescent="0.3">
      <c r="A102" s="273"/>
      <c r="B102" s="1141" t="s">
        <v>13</v>
      </c>
      <c r="C102" s="2160" t="s">
        <v>530</v>
      </c>
      <c r="D102" s="2161"/>
      <c r="E102" s="2161"/>
      <c r="F102" s="2162"/>
      <c r="G102" s="274"/>
      <c r="H102" s="274"/>
    </row>
    <row r="103" spans="1:9" ht="13.9" customHeight="1" x14ac:dyDescent="0.25">
      <c r="A103" s="273"/>
      <c r="B103" s="2132"/>
      <c r="C103" s="285">
        <v>2018</v>
      </c>
      <c r="D103" s="285">
        <v>2019</v>
      </c>
      <c r="E103" s="285">
        <v>2020</v>
      </c>
      <c r="F103" s="285">
        <v>2021</v>
      </c>
      <c r="G103" s="274"/>
      <c r="H103" s="274"/>
    </row>
    <row r="104" spans="1:9" ht="13.9" customHeight="1" thickBot="1" x14ac:dyDescent="0.3">
      <c r="A104" s="273"/>
      <c r="B104" s="2133"/>
      <c r="C104" s="286" t="s">
        <v>6</v>
      </c>
      <c r="D104" s="286" t="s">
        <v>7</v>
      </c>
      <c r="E104" s="286" t="s">
        <v>7</v>
      </c>
      <c r="F104" s="286" t="s">
        <v>7</v>
      </c>
      <c r="G104" s="274"/>
      <c r="H104" s="274"/>
    </row>
    <row r="105" spans="1:9" ht="13.9" customHeight="1" thickBot="1" x14ac:dyDescent="0.3">
      <c r="A105" s="273"/>
      <c r="B105" s="1133" t="s">
        <v>9</v>
      </c>
      <c r="C105" s="302">
        <f>'01110 PM Form 2 PolAktual 19-21'!C182</f>
        <v>643</v>
      </c>
      <c r="D105" s="302">
        <f>'01110 PM Form 2 PolAktual 19-21'!D182</f>
        <v>643</v>
      </c>
      <c r="E105" s="302">
        <f>'01110 PM Form 2 PolAktual 19-21'!E182</f>
        <v>643</v>
      </c>
      <c r="F105" s="302">
        <f>'01110 PM Form 2 PolAktual 19-21'!F182</f>
        <v>643</v>
      </c>
      <c r="G105" s="1162"/>
      <c r="H105" s="1162"/>
      <c r="I105" s="1173"/>
    </row>
    <row r="106" spans="1:9" ht="13.9" customHeight="1" thickBot="1" x14ac:dyDescent="0.3">
      <c r="A106" s="273"/>
      <c r="B106" s="1141" t="s">
        <v>14</v>
      </c>
      <c r="C106" s="302">
        <v>0</v>
      </c>
      <c r="D106" s="302">
        <f>'01110 PM Form 2 PolAktual 19-21'!D183-'Formati 2.1 01110'!D163</f>
        <v>55399.491999999969</v>
      </c>
      <c r="E106" s="302">
        <f>'01110 PM Form 2 PolAktual 19-21'!E183-'Formati 2.1 01110'!E163</f>
        <v>116338.24119999993</v>
      </c>
      <c r="F106" s="302">
        <f>'01110 PM Form 2 PolAktual 19-21'!F183-'Formati 2.1 01110'!F163</f>
        <v>188330.27737999998</v>
      </c>
      <c r="G106" s="1162"/>
      <c r="H106" s="1162"/>
      <c r="I106" s="1173"/>
    </row>
    <row r="107" spans="1:9" ht="13.9" customHeight="1" thickBot="1" x14ac:dyDescent="0.3">
      <c r="A107" s="273"/>
      <c r="B107" s="1141" t="s">
        <v>23</v>
      </c>
      <c r="C107" s="287">
        <v>0</v>
      </c>
      <c r="D107" s="287">
        <f>D106/D105</f>
        <v>86.157841368584712</v>
      </c>
      <c r="E107" s="287">
        <f>E106/E105</f>
        <v>180.93039066874016</v>
      </c>
      <c r="F107" s="287">
        <f>F106/F105</f>
        <v>292.89312189735614</v>
      </c>
      <c r="G107" s="274"/>
      <c r="H107" s="274"/>
    </row>
    <row r="108" spans="1:9" ht="13.9" customHeight="1" thickBot="1" x14ac:dyDescent="0.3">
      <c r="A108" s="273"/>
      <c r="B108" s="1141" t="s">
        <v>15</v>
      </c>
      <c r="C108" s="1133" t="s">
        <v>21</v>
      </c>
      <c r="D108" s="289">
        <f>D105/C105-1</f>
        <v>0</v>
      </c>
      <c r="E108" s="289">
        <f t="shared" ref="E108:F110" si="14">E105/D105-1</f>
        <v>0</v>
      </c>
      <c r="F108" s="289">
        <f t="shared" si="14"/>
        <v>0</v>
      </c>
      <c r="G108" s="274"/>
      <c r="H108" s="274"/>
    </row>
    <row r="109" spans="1:9" ht="13.9" customHeight="1" thickBot="1" x14ac:dyDescent="0.3">
      <c r="A109" s="273"/>
      <c r="B109" s="1141" t="s">
        <v>16</v>
      </c>
      <c r="C109" s="1133" t="s">
        <v>21</v>
      </c>
      <c r="D109" s="289" t="e">
        <f>D106/C106-1</f>
        <v>#DIV/0!</v>
      </c>
      <c r="E109" s="289">
        <f t="shared" si="14"/>
        <v>1.0999875089107314</v>
      </c>
      <c r="F109" s="289">
        <f t="shared" si="14"/>
        <v>0.61881661126573828</v>
      </c>
      <c r="G109" s="274"/>
      <c r="H109" s="274"/>
    </row>
    <row r="110" spans="1:9" ht="13.9" customHeight="1" thickBot="1" x14ac:dyDescent="0.3">
      <c r="A110" s="273"/>
      <c r="B110" s="1141" t="s">
        <v>17</v>
      </c>
      <c r="C110" s="1133" t="s">
        <v>21</v>
      </c>
      <c r="D110" s="289" t="e">
        <f>D107/C107-1</f>
        <v>#DIV/0!</v>
      </c>
      <c r="E110" s="289">
        <f t="shared" si="14"/>
        <v>1.0999875089107314</v>
      </c>
      <c r="F110" s="289">
        <f t="shared" si="14"/>
        <v>0.6188166112657385</v>
      </c>
      <c r="G110" s="274"/>
      <c r="H110" s="274"/>
    </row>
    <row r="111" spans="1:9" ht="13.9" customHeight="1" thickBot="1" x14ac:dyDescent="0.3">
      <c r="A111" s="273"/>
      <c r="B111" s="2134" t="s">
        <v>139</v>
      </c>
      <c r="C111" s="2135"/>
      <c r="D111" s="2135"/>
      <c r="E111" s="2135"/>
      <c r="F111" s="2136"/>
      <c r="G111" s="274"/>
      <c r="H111" s="274"/>
    </row>
    <row r="112" spans="1:9" ht="13.9" customHeight="1" x14ac:dyDescent="0.25">
      <c r="A112" s="273"/>
      <c r="B112" s="2132"/>
      <c r="C112" s="285">
        <v>2018</v>
      </c>
      <c r="D112" s="285">
        <v>2019</v>
      </c>
      <c r="E112" s="285">
        <v>2020</v>
      </c>
      <c r="F112" s="285">
        <v>2021</v>
      </c>
      <c r="G112" s="274"/>
      <c r="H112" s="274"/>
    </row>
    <row r="113" spans="1:9" ht="13.9" customHeight="1" thickBot="1" x14ac:dyDescent="0.3">
      <c r="A113" s="273"/>
      <c r="B113" s="2133"/>
      <c r="C113" s="286" t="s">
        <v>6</v>
      </c>
      <c r="D113" s="286" t="s">
        <v>7</v>
      </c>
      <c r="E113" s="286" t="s">
        <v>7</v>
      </c>
      <c r="F113" s="286" t="s">
        <v>7</v>
      </c>
      <c r="G113" s="274"/>
      <c r="H113" s="274"/>
    </row>
    <row r="114" spans="1:9" ht="13.9" customHeight="1" thickBot="1" x14ac:dyDescent="0.3">
      <c r="A114" s="273"/>
      <c r="B114" s="291" t="s">
        <v>0</v>
      </c>
      <c r="C114" s="292">
        <f>'01110 PM Form 2 PolAktual 19-21'!C191-'Formati 2.1 01110'!C171</f>
        <v>0</v>
      </c>
      <c r="D114" s="1170">
        <f>'01110 PM Form 2 PolAktual 19-21'!D191-'Formati 2.1 01110'!D171</f>
        <v>53084.859999999986</v>
      </c>
      <c r="E114" s="1170">
        <f>'01110 PM Form 2 PolAktual 19-21'!E191-'Formati 2.1 01110'!E171</f>
        <v>105677.14599999995</v>
      </c>
      <c r="F114" s="1170">
        <f>'01110 PM Form 2 PolAktual 19-21'!F191-'Formati 2.1 01110'!F171</f>
        <v>167783.61789999995</v>
      </c>
      <c r="G114" s="1505"/>
      <c r="H114" s="1505"/>
      <c r="I114" s="1505"/>
    </row>
    <row r="115" spans="1:9" ht="13.9" customHeight="1" thickBot="1" x14ac:dyDescent="0.3">
      <c r="A115" s="273"/>
      <c r="B115" s="291" t="s">
        <v>49</v>
      </c>
      <c r="C115" s="292">
        <f>'01110 PM Form 2 PolAktual 19-21'!C194-'Formati 2.1 01110'!C172</f>
        <v>0</v>
      </c>
      <c r="D115" s="1170">
        <f>'01110 PM Form 2 PolAktual 19-21'!D194-'Formati 2.1 01110'!D172</f>
        <v>1274.4320000000007</v>
      </c>
      <c r="E115" s="1170">
        <f>'01110 PM Form 2 PolAktual 19-21'!E194-'Formati 2.1 01110'!E172</f>
        <v>9577.895199999999</v>
      </c>
      <c r="F115" s="1170">
        <f>'01110 PM Form 2 PolAktual 19-21'!F194-'Formati 2.1 01110'!F172</f>
        <v>19418.459480000005</v>
      </c>
      <c r="G115" s="1505"/>
      <c r="H115" s="1505"/>
      <c r="I115" s="1505"/>
    </row>
    <row r="116" spans="1:9" ht="13.9" customHeight="1" thickBot="1" x14ac:dyDescent="0.3">
      <c r="A116" s="273"/>
      <c r="B116" s="291" t="s">
        <v>1</v>
      </c>
      <c r="C116" s="293"/>
      <c r="D116" s="293"/>
      <c r="E116" s="293"/>
      <c r="F116" s="293"/>
      <c r="G116" s="1505"/>
      <c r="H116" s="1505"/>
      <c r="I116" s="1505"/>
    </row>
    <row r="117" spans="1:9" ht="13.9" customHeight="1" thickBot="1" x14ac:dyDescent="0.3">
      <c r="A117" s="273"/>
      <c r="B117" s="291" t="s">
        <v>2</v>
      </c>
      <c r="C117" s="293">
        <v>0</v>
      </c>
      <c r="D117" s="293">
        <v>0</v>
      </c>
      <c r="E117" s="293">
        <v>0</v>
      </c>
      <c r="F117" s="293">
        <v>0</v>
      </c>
      <c r="G117" s="274"/>
      <c r="H117" s="274"/>
    </row>
    <row r="118" spans="1:9" ht="13.9" customHeight="1" thickBot="1" x14ac:dyDescent="0.3">
      <c r="A118" s="273"/>
      <c r="B118" s="291" t="s">
        <v>28</v>
      </c>
      <c r="C118" s="293">
        <v>0</v>
      </c>
      <c r="D118" s="293">
        <v>0</v>
      </c>
      <c r="E118" s="293">
        <v>0</v>
      </c>
      <c r="F118" s="293">
        <v>0</v>
      </c>
      <c r="G118" s="274"/>
      <c r="H118" s="274"/>
    </row>
    <row r="119" spans="1:9" ht="13.9" customHeight="1" thickBot="1" x14ac:dyDescent="0.3">
      <c r="A119" s="273"/>
      <c r="B119" s="291" t="s">
        <v>30</v>
      </c>
      <c r="C119" s="293">
        <v>0</v>
      </c>
      <c r="D119" s="293">
        <v>0</v>
      </c>
      <c r="E119" s="293">
        <v>0</v>
      </c>
      <c r="F119" s="293">
        <v>0</v>
      </c>
      <c r="G119" s="274"/>
      <c r="H119" s="274"/>
    </row>
    <row r="120" spans="1:9" ht="13.9" customHeight="1" thickBot="1" x14ac:dyDescent="0.3">
      <c r="A120" s="273"/>
      <c r="B120" s="291" t="s">
        <v>3</v>
      </c>
      <c r="C120" s="293">
        <v>0</v>
      </c>
      <c r="D120" s="293">
        <f>'01110 PM Form 2 PolAktual 19-21'!D201-'Formati 2.1 01110'!D177</f>
        <v>1040</v>
      </c>
      <c r="E120" s="293">
        <f>'01110 PM Form 2 PolAktual 19-21'!E201-'Formati 2.1 01110'!E177</f>
        <v>1083</v>
      </c>
      <c r="F120" s="293">
        <f>'01110 PM Form 2 PolAktual 19-21'!F201-'Formati 2.1 01110'!F177</f>
        <v>1128</v>
      </c>
      <c r="G120" s="274"/>
      <c r="H120" s="274"/>
    </row>
    <row r="121" spans="1:9" ht="13.9" customHeight="1" thickBot="1" x14ac:dyDescent="0.3">
      <c r="A121" s="273"/>
      <c r="B121" s="300" t="s">
        <v>71</v>
      </c>
      <c r="C121" s="293">
        <f>C120+C119+C118+C117+C116+C115+C114</f>
        <v>0</v>
      </c>
      <c r="D121" s="1171">
        <f>D120+D119+D118+D117+D116+D115+D114</f>
        <v>55399.291999999987</v>
      </c>
      <c r="E121" s="1171">
        <f>E120+E119+E118+E117+E116+E115+E114</f>
        <v>116338.04119999995</v>
      </c>
      <c r="F121" s="1171">
        <f>F120+F119+F118+F117+F116+F115+F114</f>
        <v>188330.07737999997</v>
      </c>
      <c r="G121" s="274"/>
      <c r="H121" s="274"/>
    </row>
    <row r="122" spans="1:9" ht="13.9" customHeight="1" thickBot="1" x14ac:dyDescent="0.3">
      <c r="A122" s="273"/>
      <c r="B122" s="296" t="s">
        <v>70</v>
      </c>
      <c r="C122" s="297">
        <f>C106-C121</f>
        <v>0</v>
      </c>
      <c r="D122" s="297">
        <f>D106-D121</f>
        <v>0.1999999999825377</v>
      </c>
      <c r="E122" s="297">
        <f>E106-E121</f>
        <v>0.1999999999825377</v>
      </c>
      <c r="F122" s="297">
        <f>F106-F121</f>
        <v>0.20000000001164153</v>
      </c>
      <c r="G122" s="274"/>
      <c r="H122" s="274"/>
    </row>
    <row r="123" spans="1:9" ht="13.9" customHeight="1" thickBot="1" x14ac:dyDescent="0.3">
      <c r="A123" s="273"/>
      <c r="B123" s="296"/>
      <c r="C123" s="338"/>
      <c r="D123" s="338"/>
      <c r="E123" s="338"/>
      <c r="F123" s="297"/>
      <c r="G123" s="274"/>
      <c r="H123" s="274"/>
    </row>
    <row r="124" spans="1:9" ht="13.9" customHeight="1" thickBot="1" x14ac:dyDescent="0.3">
      <c r="A124" s="273"/>
      <c r="B124" s="296"/>
      <c r="C124" s="338"/>
      <c r="D124" s="338"/>
      <c r="E124" s="338"/>
      <c r="F124" s="297"/>
      <c r="G124" s="274"/>
      <c r="H124" s="274"/>
    </row>
    <row r="125" spans="1:9" ht="23.45" customHeight="1" thickBot="1" x14ac:dyDescent="0.3">
      <c r="A125" s="337" t="s">
        <v>534</v>
      </c>
      <c r="B125" s="339"/>
      <c r="C125" s="2163" t="s">
        <v>46</v>
      </c>
      <c r="D125" s="2164"/>
      <c r="E125" s="2164"/>
      <c r="F125" s="2165"/>
      <c r="G125" s="274"/>
      <c r="H125" s="274"/>
    </row>
    <row r="126" spans="1:9" ht="13.9" customHeight="1" thickBot="1" x14ac:dyDescent="0.3">
      <c r="A126" s="337"/>
      <c r="B126" s="339" t="s">
        <v>47</v>
      </c>
      <c r="C126" s="1134"/>
      <c r="D126" s="1135"/>
      <c r="E126" s="1135"/>
      <c r="F126" s="1136"/>
      <c r="G126" s="274"/>
      <c r="H126" s="274"/>
    </row>
    <row r="127" spans="1:9" ht="30" customHeight="1" thickBot="1" x14ac:dyDescent="0.3">
      <c r="A127" s="273"/>
      <c r="B127" s="305" t="s">
        <v>540</v>
      </c>
      <c r="C127" s="2143" t="s">
        <v>542</v>
      </c>
      <c r="D127" s="2144"/>
      <c r="E127" s="2144"/>
      <c r="F127" s="2145"/>
      <c r="G127" s="274"/>
      <c r="H127" s="274"/>
    </row>
    <row r="128" spans="1:9" ht="28.9" customHeight="1" thickBot="1" x14ac:dyDescent="0.3">
      <c r="A128" s="273"/>
      <c r="B128" s="1141" t="s">
        <v>10</v>
      </c>
      <c r="C128" s="2143" t="s">
        <v>957</v>
      </c>
      <c r="D128" s="2144"/>
      <c r="E128" s="2144"/>
      <c r="F128" s="2145"/>
      <c r="G128" s="274"/>
      <c r="H128" s="274"/>
    </row>
    <row r="129" spans="1:8" ht="13.9" customHeight="1" thickBot="1" x14ac:dyDescent="0.3">
      <c r="A129" s="273"/>
      <c r="B129" s="1141" t="s">
        <v>13</v>
      </c>
      <c r="C129" s="2154" t="s">
        <v>548</v>
      </c>
      <c r="D129" s="2155"/>
      <c r="E129" s="2155"/>
      <c r="F129" s="2156"/>
      <c r="G129" s="274"/>
      <c r="H129" s="274"/>
    </row>
    <row r="130" spans="1:8" ht="13.9" customHeight="1" x14ac:dyDescent="0.25">
      <c r="A130" s="273"/>
      <c r="B130" s="2132"/>
      <c r="C130" s="285">
        <v>2018</v>
      </c>
      <c r="D130" s="285">
        <v>2019</v>
      </c>
      <c r="E130" s="285">
        <v>2020</v>
      </c>
      <c r="F130" s="285">
        <v>2021</v>
      </c>
      <c r="G130" s="274"/>
      <c r="H130" s="274"/>
    </row>
    <row r="131" spans="1:8" ht="13.9" customHeight="1" thickBot="1" x14ac:dyDescent="0.3">
      <c r="A131" s="273"/>
      <c r="B131" s="2133"/>
      <c r="C131" s="286" t="s">
        <v>6</v>
      </c>
      <c r="D131" s="286" t="s">
        <v>7</v>
      </c>
      <c r="E131" s="286" t="s">
        <v>7</v>
      </c>
      <c r="F131" s="286" t="s">
        <v>7</v>
      </c>
      <c r="G131" s="274"/>
      <c r="H131" s="274"/>
    </row>
    <row r="132" spans="1:8" ht="13.9" customHeight="1" thickBot="1" x14ac:dyDescent="0.3">
      <c r="A132" s="273"/>
      <c r="B132" s="1141" t="s">
        <v>9</v>
      </c>
      <c r="C132" s="292">
        <f>'01110 PM Form 2 PolAktual 19-21'!C215-'Formati 2.1 01110'!C189</f>
        <v>0</v>
      </c>
      <c r="D132" s="292">
        <v>22</v>
      </c>
      <c r="E132" s="292">
        <f>'01110 PM Form 2 PolAktual 19-21'!E215-'Formati 2.1 01110'!E189</f>
        <v>24</v>
      </c>
      <c r="F132" s="292">
        <f>'01110 PM Form 2 PolAktual 19-21'!F215-'Formati 2.1 01110'!F189</f>
        <v>24</v>
      </c>
      <c r="G132" s="274"/>
      <c r="H132" s="274"/>
    </row>
    <row r="133" spans="1:8" ht="13.9" customHeight="1" thickBot="1" x14ac:dyDescent="0.3">
      <c r="A133" s="273"/>
      <c r="B133" s="1141" t="s">
        <v>14</v>
      </c>
      <c r="C133" s="292">
        <f>'01110 PM Form 2 PolAktual 19-21'!C216-'Formati 2.1 01110'!C190</f>
        <v>0</v>
      </c>
      <c r="D133" s="1170">
        <f>'01110 PM Form 2 PolAktual 19-21'!D216-'Formati 2.1 01110'!D190</f>
        <v>40500</v>
      </c>
      <c r="E133" s="1170">
        <f>'01110 PM Form 2 PolAktual 19-21'!E216-'Formati 2.1 01110'!E190</f>
        <v>43500</v>
      </c>
      <c r="F133" s="1170">
        <f>'01110 PM Form 2 PolAktual 19-21'!F216-'Formati 2.1 01110'!F190</f>
        <v>43500</v>
      </c>
      <c r="G133" s="274"/>
      <c r="H133" s="274"/>
    </row>
    <row r="134" spans="1:8" ht="13.9" customHeight="1" thickBot="1" x14ac:dyDescent="0.3">
      <c r="A134" s="273"/>
      <c r="B134" s="1141" t="s">
        <v>23</v>
      </c>
      <c r="C134" s="288">
        <v>0</v>
      </c>
      <c r="D134" s="288">
        <f t="shared" ref="D134:F134" si="15">D133/D132</f>
        <v>1840.909090909091</v>
      </c>
      <c r="E134" s="288">
        <f t="shared" si="15"/>
        <v>1812.5</v>
      </c>
      <c r="F134" s="288">
        <f t="shared" si="15"/>
        <v>1812.5</v>
      </c>
      <c r="G134" s="274"/>
      <c r="H134" s="274"/>
    </row>
    <row r="135" spans="1:8" ht="13.9" customHeight="1" thickBot="1" x14ac:dyDescent="0.3">
      <c r="A135" s="273"/>
      <c r="B135" s="1141" t="s">
        <v>15</v>
      </c>
      <c r="C135" s="1133" t="s">
        <v>21</v>
      </c>
      <c r="D135" s="289" t="e">
        <f>D132/C132-1</f>
        <v>#DIV/0!</v>
      </c>
      <c r="E135" s="289">
        <f t="shared" ref="E135:F137" si="16">E132/D132-1</f>
        <v>9.0909090909090828E-2</v>
      </c>
      <c r="F135" s="289">
        <f t="shared" si="16"/>
        <v>0</v>
      </c>
      <c r="G135" s="290"/>
      <c r="H135" s="290"/>
    </row>
    <row r="136" spans="1:8" ht="13.9" customHeight="1" thickBot="1" x14ac:dyDescent="0.3">
      <c r="A136" s="273"/>
      <c r="B136" s="1141" t="s">
        <v>16</v>
      </c>
      <c r="C136" s="1133" t="s">
        <v>21</v>
      </c>
      <c r="D136" s="289" t="e">
        <f>D133/C133-1</f>
        <v>#DIV/0!</v>
      </c>
      <c r="E136" s="289">
        <f t="shared" si="16"/>
        <v>7.4074074074074181E-2</v>
      </c>
      <c r="F136" s="289">
        <f t="shared" si="16"/>
        <v>0</v>
      </c>
      <c r="G136" s="274"/>
      <c r="H136" s="274"/>
    </row>
    <row r="137" spans="1:8" ht="13.9" customHeight="1" thickBot="1" x14ac:dyDescent="0.3">
      <c r="A137" s="273"/>
      <c r="B137" s="1141" t="s">
        <v>17</v>
      </c>
      <c r="C137" s="1133" t="s">
        <v>21</v>
      </c>
      <c r="D137" s="289" t="e">
        <f>D134/C134-1</f>
        <v>#DIV/0!</v>
      </c>
      <c r="E137" s="289">
        <f t="shared" si="16"/>
        <v>-1.5432098765432167E-2</v>
      </c>
      <c r="F137" s="289">
        <f t="shared" si="16"/>
        <v>0</v>
      </c>
      <c r="G137" s="274"/>
      <c r="H137" s="274"/>
    </row>
    <row r="138" spans="1:8" ht="13.9" customHeight="1" thickBot="1" x14ac:dyDescent="0.3">
      <c r="A138" s="273"/>
      <c r="B138" s="2134" t="s">
        <v>140</v>
      </c>
      <c r="C138" s="2135"/>
      <c r="D138" s="2135"/>
      <c r="E138" s="2135"/>
      <c r="F138" s="2136"/>
      <c r="G138" s="274"/>
      <c r="H138" s="274"/>
    </row>
    <row r="139" spans="1:8" ht="13.9" customHeight="1" x14ac:dyDescent="0.25">
      <c r="A139" s="273"/>
      <c r="B139" s="2132"/>
      <c r="C139" s="285">
        <v>2018</v>
      </c>
      <c r="D139" s="285">
        <v>2019</v>
      </c>
      <c r="E139" s="285">
        <v>2020</v>
      </c>
      <c r="F139" s="285">
        <v>2021</v>
      </c>
      <c r="G139" s="274"/>
      <c r="H139" s="274"/>
    </row>
    <row r="140" spans="1:8" ht="13.9" customHeight="1" thickBot="1" x14ac:dyDescent="0.3">
      <c r="A140" s="273"/>
      <c r="B140" s="2133"/>
      <c r="C140" s="286" t="s">
        <v>6</v>
      </c>
      <c r="D140" s="286" t="s">
        <v>7</v>
      </c>
      <c r="E140" s="286" t="s">
        <v>7</v>
      </c>
      <c r="F140" s="286" t="s">
        <v>7</v>
      </c>
      <c r="G140" s="274"/>
      <c r="H140" s="274"/>
    </row>
    <row r="141" spans="1:8" ht="13.9" customHeight="1" thickBot="1" x14ac:dyDescent="0.3">
      <c r="A141" s="273"/>
      <c r="B141" s="291" t="s">
        <v>104</v>
      </c>
      <c r="C141" s="292"/>
      <c r="D141" s="292"/>
      <c r="E141" s="292"/>
      <c r="F141" s="292"/>
      <c r="G141" s="274"/>
      <c r="H141" s="274"/>
    </row>
    <row r="142" spans="1:8" ht="13.9" customHeight="1" thickBot="1" x14ac:dyDescent="0.3">
      <c r="A142" s="273"/>
      <c r="B142" s="284" t="s">
        <v>105</v>
      </c>
      <c r="C142" s="294">
        <f>C133</f>
        <v>0</v>
      </c>
      <c r="D142" s="294">
        <f>D133</f>
        <v>40500</v>
      </c>
      <c r="E142" s="294">
        <f t="shared" ref="E142:F142" si="17">E133</f>
        <v>43500</v>
      </c>
      <c r="F142" s="294">
        <f t="shared" si="17"/>
        <v>43500</v>
      </c>
      <c r="G142" s="274"/>
      <c r="H142" s="274"/>
    </row>
    <row r="143" spans="1:8" ht="13.9" customHeight="1" thickBot="1" x14ac:dyDescent="0.3">
      <c r="A143" s="273"/>
      <c r="B143" s="340" t="s">
        <v>71</v>
      </c>
      <c r="C143" s="294">
        <f>C142+C141</f>
        <v>0</v>
      </c>
      <c r="D143" s="294">
        <f t="shared" ref="D143:F143" si="18">D142+D141</f>
        <v>40500</v>
      </c>
      <c r="E143" s="294">
        <f t="shared" si="18"/>
        <v>43500</v>
      </c>
      <c r="F143" s="294">
        <f t="shared" si="18"/>
        <v>43500</v>
      </c>
      <c r="G143" s="274"/>
      <c r="H143" s="274"/>
    </row>
    <row r="144" spans="1:8" ht="13.9" customHeight="1" thickBot="1" x14ac:dyDescent="0.3">
      <c r="A144" s="273"/>
      <c r="B144" s="2146" t="s">
        <v>100</v>
      </c>
      <c r="C144" s="2147"/>
      <c r="D144" s="2147"/>
      <c r="E144" s="2147"/>
      <c r="F144" s="2148"/>
      <c r="G144" s="274"/>
      <c r="H144" s="274"/>
    </row>
    <row r="145" spans="1:8" ht="13.9" customHeight="1" thickBot="1" x14ac:dyDescent="0.3">
      <c r="A145" s="273"/>
      <c r="B145" s="2146" t="s">
        <v>106</v>
      </c>
      <c r="C145" s="2147"/>
      <c r="D145" s="2147"/>
      <c r="E145" s="2147"/>
      <c r="F145" s="2148"/>
      <c r="G145" s="274"/>
      <c r="H145" s="274"/>
    </row>
    <row r="146" spans="1:8" ht="13.9" customHeight="1" thickBot="1" x14ac:dyDescent="0.3">
      <c r="A146" s="273"/>
      <c r="B146" s="304" t="s">
        <v>47</v>
      </c>
      <c r="C146" s="2149" t="s">
        <v>184</v>
      </c>
      <c r="D146" s="2150"/>
      <c r="E146" s="2150"/>
      <c r="F146" s="2150"/>
      <c r="G146" s="274"/>
      <c r="H146" s="274"/>
    </row>
    <row r="147" spans="1:8" ht="31.15" customHeight="1" thickBot="1" x14ac:dyDescent="0.3">
      <c r="A147" s="273"/>
      <c r="B147" s="305" t="s">
        <v>45</v>
      </c>
      <c r="C147" s="2151" t="s">
        <v>544</v>
      </c>
      <c r="D147" s="2152"/>
      <c r="E147" s="2152"/>
      <c r="F147" s="2153"/>
      <c r="G147" s="274"/>
      <c r="H147" s="274"/>
    </row>
    <row r="148" spans="1:8" ht="30" customHeight="1" thickBot="1" x14ac:dyDescent="0.3">
      <c r="A148" s="273"/>
      <c r="B148" s="1141" t="s">
        <v>10</v>
      </c>
      <c r="C148" s="2143" t="s">
        <v>545</v>
      </c>
      <c r="D148" s="2144"/>
      <c r="E148" s="2144"/>
      <c r="F148" s="2145"/>
      <c r="G148" s="274"/>
      <c r="H148" s="274"/>
    </row>
    <row r="149" spans="1:8" ht="13.9" customHeight="1" thickBot="1" x14ac:dyDescent="0.3">
      <c r="A149" s="273"/>
      <c r="B149" s="1141" t="s">
        <v>13</v>
      </c>
      <c r="C149" s="2154" t="s">
        <v>547</v>
      </c>
      <c r="D149" s="2155"/>
      <c r="E149" s="2155"/>
      <c r="F149" s="2156"/>
      <c r="G149" s="274"/>
      <c r="H149" s="274"/>
    </row>
    <row r="150" spans="1:8" ht="13.9" customHeight="1" x14ac:dyDescent="0.25">
      <c r="A150" s="273"/>
      <c r="B150" s="2132"/>
      <c r="C150" s="285">
        <v>2018</v>
      </c>
      <c r="D150" s="285">
        <v>2019</v>
      </c>
      <c r="E150" s="285">
        <v>2020</v>
      </c>
      <c r="F150" s="285">
        <v>2021</v>
      </c>
      <c r="G150" s="274"/>
      <c r="H150" s="274"/>
    </row>
    <row r="151" spans="1:8" ht="13.9" customHeight="1" thickBot="1" x14ac:dyDescent="0.3">
      <c r="A151" s="273"/>
      <c r="B151" s="2133"/>
      <c r="C151" s="286" t="s">
        <v>6</v>
      </c>
      <c r="D151" s="286" t="s">
        <v>7</v>
      </c>
      <c r="E151" s="286" t="s">
        <v>7</v>
      </c>
      <c r="F151" s="286" t="s">
        <v>7</v>
      </c>
      <c r="G151" s="274"/>
      <c r="H151" s="274"/>
    </row>
    <row r="152" spans="1:8" ht="13.9" customHeight="1" thickBot="1" x14ac:dyDescent="0.3">
      <c r="A152" s="273"/>
      <c r="B152" s="1141" t="s">
        <v>9</v>
      </c>
      <c r="C152" s="341">
        <f>'01110 PM Form 2 PolAktual 19-21'!C235-'Formati 2.1 01110'!C209</f>
        <v>0</v>
      </c>
      <c r="D152" s="341">
        <f>'01110 PM Form 2 PolAktual 19-21'!D235-'Formati 2.1 01110'!D209</f>
        <v>8</v>
      </c>
      <c r="E152" s="341">
        <f>'01110 PM Form 2 PolAktual 19-21'!E235-'Formati 2.1 01110'!E209</f>
        <v>8</v>
      </c>
      <c r="F152" s="341">
        <f>'01110 PM Form 2 PolAktual 19-21'!F235-'Formati 2.1 01110'!F209</f>
        <v>8</v>
      </c>
      <c r="G152" s="274"/>
      <c r="H152" s="274"/>
    </row>
    <row r="153" spans="1:8" ht="13.9" customHeight="1" thickBot="1" x14ac:dyDescent="0.3">
      <c r="A153" s="273"/>
      <c r="B153" s="1141" t="s">
        <v>14</v>
      </c>
      <c r="C153" s="341">
        <f>'01110 PM Form 2 PolAktual 19-21'!C236-'Formati 2.1 01110'!C210</f>
        <v>0</v>
      </c>
      <c r="D153" s="341">
        <f>'01110 PM Form 2 PolAktual 19-21'!D236-'Formati 2.1 01110'!D210</f>
        <v>10000</v>
      </c>
      <c r="E153" s="341">
        <f>'01110 PM Form 2 PolAktual 19-21'!E236-'Formati 2.1 01110'!E210</f>
        <v>10000</v>
      </c>
      <c r="F153" s="341">
        <f>'01110 PM Form 2 PolAktual 19-21'!F236-'Formati 2.1 01110'!F210</f>
        <v>10000</v>
      </c>
      <c r="G153" s="274"/>
      <c r="H153" s="274"/>
    </row>
    <row r="154" spans="1:8" ht="13.9" customHeight="1" thickBot="1" x14ac:dyDescent="0.3">
      <c r="A154" s="273"/>
      <c r="B154" s="1141" t="s">
        <v>23</v>
      </c>
      <c r="C154" s="342">
        <v>0</v>
      </c>
      <c r="D154" s="342">
        <f t="shared" ref="D154:F154" si="19">D153/D152</f>
        <v>1250</v>
      </c>
      <c r="E154" s="342">
        <f t="shared" si="19"/>
        <v>1250</v>
      </c>
      <c r="F154" s="342">
        <f t="shared" si="19"/>
        <v>1250</v>
      </c>
      <c r="G154" s="274"/>
      <c r="H154" s="274"/>
    </row>
    <row r="155" spans="1:8" ht="13.9" customHeight="1" thickBot="1" x14ac:dyDescent="0.3">
      <c r="A155" s="273"/>
      <c r="B155" s="1141" t="s">
        <v>15</v>
      </c>
      <c r="C155" s="1133" t="s">
        <v>21</v>
      </c>
      <c r="D155" s="289" t="e">
        <f>D152/C152-1</f>
        <v>#DIV/0!</v>
      </c>
      <c r="E155" s="289">
        <f t="shared" ref="E155:F157" si="20">E152/D152-1</f>
        <v>0</v>
      </c>
      <c r="F155" s="289">
        <f t="shared" si="20"/>
        <v>0</v>
      </c>
      <c r="G155" s="274"/>
      <c r="H155" s="274"/>
    </row>
    <row r="156" spans="1:8" ht="13.9" customHeight="1" thickBot="1" x14ac:dyDescent="0.3">
      <c r="A156" s="273"/>
      <c r="B156" s="1141" t="s">
        <v>16</v>
      </c>
      <c r="C156" s="1133" t="s">
        <v>21</v>
      </c>
      <c r="D156" s="289" t="e">
        <f>D153/C153-1</f>
        <v>#DIV/0!</v>
      </c>
      <c r="E156" s="289">
        <f t="shared" si="20"/>
        <v>0</v>
      </c>
      <c r="F156" s="289">
        <f t="shared" si="20"/>
        <v>0</v>
      </c>
      <c r="G156" s="274"/>
      <c r="H156" s="274"/>
    </row>
    <row r="157" spans="1:8" ht="13.9" customHeight="1" thickBot="1" x14ac:dyDescent="0.3">
      <c r="A157" s="273"/>
      <c r="B157" s="1141" t="s">
        <v>17</v>
      </c>
      <c r="C157" s="1133" t="s">
        <v>21</v>
      </c>
      <c r="D157" s="289" t="e">
        <f>D154/C154-1</f>
        <v>#DIV/0!</v>
      </c>
      <c r="E157" s="289">
        <f t="shared" si="20"/>
        <v>0</v>
      </c>
      <c r="F157" s="289">
        <f t="shared" si="20"/>
        <v>0</v>
      </c>
      <c r="G157" s="274"/>
      <c r="H157" s="274"/>
    </row>
    <row r="158" spans="1:8" ht="13.9" customHeight="1" thickBot="1" x14ac:dyDescent="0.3">
      <c r="A158" s="273"/>
      <c r="B158" s="2134" t="s">
        <v>138</v>
      </c>
      <c r="C158" s="2135"/>
      <c r="D158" s="2135"/>
      <c r="E158" s="2135"/>
      <c r="F158" s="2136"/>
      <c r="G158" s="274"/>
      <c r="H158" s="274"/>
    </row>
    <row r="159" spans="1:8" ht="13.9" customHeight="1" x14ac:dyDescent="0.25">
      <c r="A159" s="273"/>
      <c r="B159" s="2132"/>
      <c r="C159" s="285">
        <v>2018</v>
      </c>
      <c r="D159" s="285">
        <v>2019</v>
      </c>
      <c r="E159" s="285">
        <v>2020</v>
      </c>
      <c r="F159" s="285">
        <v>2021</v>
      </c>
      <c r="G159" s="274"/>
      <c r="H159" s="274"/>
    </row>
    <row r="160" spans="1:8" ht="13.9" customHeight="1" thickBot="1" x14ac:dyDescent="0.3">
      <c r="A160" s="273"/>
      <c r="B160" s="2133"/>
      <c r="C160" s="286" t="s">
        <v>6</v>
      </c>
      <c r="D160" s="286" t="s">
        <v>7</v>
      </c>
      <c r="E160" s="286" t="s">
        <v>7</v>
      </c>
      <c r="F160" s="286" t="s">
        <v>7</v>
      </c>
      <c r="G160" s="274"/>
      <c r="H160" s="274"/>
    </row>
    <row r="161" spans="1:8" ht="13.9" customHeight="1" thickBot="1" x14ac:dyDescent="0.3">
      <c r="A161" s="273"/>
      <c r="B161" s="291" t="s">
        <v>104</v>
      </c>
      <c r="C161" s="292">
        <v>0</v>
      </c>
      <c r="D161" s="292">
        <v>0</v>
      </c>
      <c r="E161" s="292">
        <v>0</v>
      </c>
      <c r="F161" s="292">
        <v>0</v>
      </c>
      <c r="G161" s="274"/>
      <c r="H161" s="274"/>
    </row>
    <row r="162" spans="1:8" ht="13.9" customHeight="1" thickBot="1" x14ac:dyDescent="0.3">
      <c r="A162" s="273"/>
      <c r="B162" s="291" t="s">
        <v>105</v>
      </c>
      <c r="C162" s="293">
        <f>C153</f>
        <v>0</v>
      </c>
      <c r="D162" s="293">
        <f t="shared" ref="D162:F162" si="21">D153</f>
        <v>10000</v>
      </c>
      <c r="E162" s="293">
        <f t="shared" si="21"/>
        <v>10000</v>
      </c>
      <c r="F162" s="293">
        <f t="shared" si="21"/>
        <v>10000</v>
      </c>
      <c r="G162" s="274"/>
      <c r="H162" s="274"/>
    </row>
    <row r="163" spans="1:8" ht="13.9" customHeight="1" thickBot="1" x14ac:dyDescent="0.3">
      <c r="A163" s="273"/>
      <c r="B163" s="295" t="s">
        <v>68</v>
      </c>
      <c r="C163" s="341">
        <f>C162+C161</f>
        <v>0</v>
      </c>
      <c r="D163" s="341">
        <f t="shared" ref="D163:F163" si="22">D162+D161</f>
        <v>10000</v>
      </c>
      <c r="E163" s="341">
        <f t="shared" si="22"/>
        <v>10000</v>
      </c>
      <c r="F163" s="341">
        <f t="shared" si="22"/>
        <v>10000</v>
      </c>
      <c r="G163" s="274"/>
      <c r="H163" s="274"/>
    </row>
    <row r="164" spans="1:8" ht="15" customHeight="1" thickBot="1" x14ac:dyDescent="0.3">
      <c r="A164" s="273"/>
      <c r="B164" s="306" t="s">
        <v>47</v>
      </c>
      <c r="C164" s="2157" t="s">
        <v>46</v>
      </c>
      <c r="D164" s="2158"/>
      <c r="E164" s="2158"/>
      <c r="F164" s="2159"/>
      <c r="G164" s="274"/>
      <c r="H164" s="274"/>
    </row>
    <row r="165" spans="1:8" ht="31.15" customHeight="1" thickBot="1" x14ac:dyDescent="0.3">
      <c r="A165" s="273"/>
      <c r="B165" s="305" t="s">
        <v>103</v>
      </c>
      <c r="C165" s="2143" t="s">
        <v>543</v>
      </c>
      <c r="D165" s="2144"/>
      <c r="E165" s="2144"/>
      <c r="F165" s="2145"/>
      <c r="G165" s="274"/>
      <c r="H165" s="274"/>
    </row>
    <row r="166" spans="1:8" ht="33" customHeight="1" thickBot="1" x14ac:dyDescent="0.3">
      <c r="A166" s="273"/>
      <c r="B166" s="1141" t="s">
        <v>10</v>
      </c>
      <c r="C166" s="2143" t="s">
        <v>543</v>
      </c>
      <c r="D166" s="2144"/>
      <c r="E166" s="2144"/>
      <c r="F166" s="2145"/>
      <c r="G166" s="274"/>
      <c r="H166" s="274"/>
    </row>
    <row r="167" spans="1:8" ht="13.9" customHeight="1" thickBot="1" x14ac:dyDescent="0.3">
      <c r="A167" s="273"/>
      <c r="B167" s="1141" t="s">
        <v>13</v>
      </c>
      <c r="C167" s="2129" t="s">
        <v>546</v>
      </c>
      <c r="D167" s="2130"/>
      <c r="E167" s="2130"/>
      <c r="F167" s="2131"/>
      <c r="G167" s="274"/>
      <c r="H167" s="274"/>
    </row>
    <row r="168" spans="1:8" ht="13.9" customHeight="1" x14ac:dyDescent="0.25">
      <c r="A168" s="273"/>
      <c r="B168" s="2132"/>
      <c r="C168" s="285">
        <v>2018</v>
      </c>
      <c r="D168" s="285">
        <v>2019</v>
      </c>
      <c r="E168" s="343">
        <v>2020</v>
      </c>
      <c r="F168" s="285">
        <v>2021</v>
      </c>
      <c r="G168" s="274"/>
      <c r="H168" s="274"/>
    </row>
    <row r="169" spans="1:8" ht="13.9" customHeight="1" thickBot="1" x14ac:dyDescent="0.3">
      <c r="A169" s="273"/>
      <c r="B169" s="2133"/>
      <c r="C169" s="286" t="s">
        <v>6</v>
      </c>
      <c r="D169" s="286" t="s">
        <v>7</v>
      </c>
      <c r="E169" s="286" t="s">
        <v>7</v>
      </c>
      <c r="F169" s="286" t="s">
        <v>7</v>
      </c>
      <c r="G169" s="274"/>
      <c r="H169" s="274"/>
    </row>
    <row r="170" spans="1:8" ht="13.9" customHeight="1" thickBot="1" x14ac:dyDescent="0.3">
      <c r="A170" s="273"/>
      <c r="B170" s="1141" t="s">
        <v>9</v>
      </c>
      <c r="C170" s="341">
        <f>'01110 PM Form 2 PolAktual 19-21'!C253-'Formati 2.1 01110'!C227</f>
        <v>0</v>
      </c>
      <c r="D170" s="341">
        <f>'01110 PM Form 2 PolAktual 19-21'!D253-'Formati 2.1 01110'!D227</f>
        <v>15</v>
      </c>
      <c r="E170" s="341">
        <f>'01110 PM Form 2 PolAktual 19-21'!E253-'Formati 2.1 01110'!E227</f>
        <v>15</v>
      </c>
      <c r="F170" s="341">
        <f>'01110 PM Form 2 PolAktual 19-21'!F253-'Formati 2.1 01110'!F227</f>
        <v>15</v>
      </c>
      <c r="G170" s="274"/>
      <c r="H170" s="274"/>
    </row>
    <row r="171" spans="1:8" ht="13.9" customHeight="1" thickBot="1" x14ac:dyDescent="0.3">
      <c r="A171" s="273"/>
      <c r="B171" s="1141" t="s">
        <v>14</v>
      </c>
      <c r="C171" s="341">
        <f>'01110 PM Form 2 PolAktual 19-21'!C254-'Formati 2.1 01110'!C228</f>
        <v>0</v>
      </c>
      <c r="D171" s="341">
        <f>'01110 PM Form 2 PolAktual 19-21'!D254-'Formati 2.1 01110'!D228</f>
        <v>6000</v>
      </c>
      <c r="E171" s="341">
        <f>'01110 PM Form 2 PolAktual 19-21'!E254-'Formati 2.1 01110'!E228</f>
        <v>6000</v>
      </c>
      <c r="F171" s="341">
        <f>'01110 PM Form 2 PolAktual 19-21'!F254-'Formati 2.1 01110'!F228</f>
        <v>6000</v>
      </c>
      <c r="G171" s="1161"/>
      <c r="H171" s="1161"/>
    </row>
    <row r="172" spans="1:8" ht="13.9" customHeight="1" thickBot="1" x14ac:dyDescent="0.3">
      <c r="A172" s="273"/>
      <c r="B172" s="1141" t="s">
        <v>23</v>
      </c>
      <c r="C172" s="341">
        <v>0</v>
      </c>
      <c r="D172" s="341">
        <f>D171/D170</f>
        <v>400</v>
      </c>
      <c r="E172" s="341">
        <f t="shared" ref="E172:F172" si="23">E171/E170</f>
        <v>400</v>
      </c>
      <c r="F172" s="341">
        <f t="shared" si="23"/>
        <v>400</v>
      </c>
      <c r="G172" s="274"/>
      <c r="H172" s="274"/>
    </row>
    <row r="173" spans="1:8" ht="13.9" customHeight="1" thickBot="1" x14ac:dyDescent="0.3">
      <c r="A173" s="273"/>
      <c r="B173" s="1141" t="s">
        <v>15</v>
      </c>
      <c r="C173" s="1133" t="s">
        <v>21</v>
      </c>
      <c r="D173" s="289" t="e">
        <f>D170/C170-1</f>
        <v>#DIV/0!</v>
      </c>
      <c r="E173" s="289">
        <f t="shared" ref="E173:F175" si="24">E170/D170-1</f>
        <v>0</v>
      </c>
      <c r="F173" s="289">
        <f t="shared" si="24"/>
        <v>0</v>
      </c>
      <c r="G173" s="290"/>
      <c r="H173" s="290"/>
    </row>
    <row r="174" spans="1:8" ht="13.9" customHeight="1" thickBot="1" x14ac:dyDescent="0.3">
      <c r="A174" s="273"/>
      <c r="B174" s="1141" t="s">
        <v>16</v>
      </c>
      <c r="C174" s="1133" t="s">
        <v>21</v>
      </c>
      <c r="D174" s="289" t="e">
        <f>D171/C171-1</f>
        <v>#DIV/0!</v>
      </c>
      <c r="E174" s="289">
        <f t="shared" si="24"/>
        <v>0</v>
      </c>
      <c r="F174" s="289">
        <f t="shared" si="24"/>
        <v>0</v>
      </c>
      <c r="G174" s="274"/>
      <c r="H174" s="274"/>
    </row>
    <row r="175" spans="1:8" ht="13.9" customHeight="1" thickBot="1" x14ac:dyDescent="0.3">
      <c r="A175" s="273"/>
      <c r="B175" s="1141" t="s">
        <v>17</v>
      </c>
      <c r="C175" s="1133" t="s">
        <v>21</v>
      </c>
      <c r="D175" s="289" t="e">
        <f>D172/C172-1</f>
        <v>#DIV/0!</v>
      </c>
      <c r="E175" s="289">
        <f t="shared" si="24"/>
        <v>0</v>
      </c>
      <c r="F175" s="289">
        <f t="shared" si="24"/>
        <v>0</v>
      </c>
      <c r="G175" s="274"/>
      <c r="H175" s="274"/>
    </row>
    <row r="176" spans="1:8" ht="13.9" customHeight="1" thickBot="1" x14ac:dyDescent="0.3">
      <c r="A176" s="273"/>
      <c r="B176" s="2134" t="s">
        <v>140</v>
      </c>
      <c r="C176" s="2135"/>
      <c r="D176" s="2135"/>
      <c r="E176" s="2135"/>
      <c r="F176" s="2136"/>
      <c r="G176" s="274"/>
      <c r="H176" s="274"/>
    </row>
    <row r="177" spans="1:9" ht="13.9" customHeight="1" x14ac:dyDescent="0.25">
      <c r="A177" s="273"/>
      <c r="B177" s="2132"/>
      <c r="C177" s="285">
        <v>2018</v>
      </c>
      <c r="D177" s="285">
        <v>2019</v>
      </c>
      <c r="E177" s="285">
        <v>2020</v>
      </c>
      <c r="F177" s="285">
        <v>2021</v>
      </c>
      <c r="G177" s="274"/>
      <c r="H177" s="274"/>
    </row>
    <row r="178" spans="1:9" ht="13.9" customHeight="1" thickBot="1" x14ac:dyDescent="0.3">
      <c r="A178" s="273"/>
      <c r="B178" s="2133"/>
      <c r="C178" s="286" t="s">
        <v>6</v>
      </c>
      <c r="D178" s="286" t="s">
        <v>7</v>
      </c>
      <c r="E178" s="286" t="s">
        <v>7</v>
      </c>
      <c r="F178" s="286" t="s">
        <v>7</v>
      </c>
      <c r="G178" s="274"/>
      <c r="H178" s="274"/>
    </row>
    <row r="179" spans="1:9" ht="13.9" customHeight="1" thickBot="1" x14ac:dyDescent="0.3">
      <c r="A179" s="273"/>
      <c r="B179" s="291" t="s">
        <v>104</v>
      </c>
      <c r="C179" s="292">
        <v>0</v>
      </c>
      <c r="D179" s="292">
        <v>0</v>
      </c>
      <c r="E179" s="292">
        <v>0</v>
      </c>
      <c r="F179" s="292">
        <v>0</v>
      </c>
      <c r="G179" s="274"/>
      <c r="H179" s="274"/>
    </row>
    <row r="180" spans="1:9" ht="13.9" customHeight="1" thickBot="1" x14ac:dyDescent="0.3">
      <c r="A180" s="273"/>
      <c r="B180" s="291" t="s">
        <v>105</v>
      </c>
      <c r="C180" s="293">
        <f>C171</f>
        <v>0</v>
      </c>
      <c r="D180" s="293">
        <f t="shared" ref="D180:F180" si="25">D171</f>
        <v>6000</v>
      </c>
      <c r="E180" s="293">
        <f t="shared" si="25"/>
        <v>6000</v>
      </c>
      <c r="F180" s="293">
        <f t="shared" si="25"/>
        <v>6000</v>
      </c>
      <c r="G180" s="274"/>
      <c r="H180" s="274"/>
    </row>
    <row r="181" spans="1:9" ht="13.9" customHeight="1" thickBot="1" x14ac:dyDescent="0.3">
      <c r="A181" s="273"/>
      <c r="B181" s="295" t="s">
        <v>71</v>
      </c>
      <c r="C181" s="294">
        <f>C180+C179</f>
        <v>0</v>
      </c>
      <c r="D181" s="294">
        <f t="shared" ref="D181:F181" si="26">D180+D179</f>
        <v>6000</v>
      </c>
      <c r="E181" s="294">
        <f t="shared" si="26"/>
        <v>6000</v>
      </c>
      <c r="F181" s="294">
        <f t="shared" si="26"/>
        <v>6000</v>
      </c>
      <c r="G181" s="274"/>
      <c r="H181" s="274"/>
    </row>
    <row r="182" spans="1:9" ht="13.9" customHeight="1" thickBot="1" x14ac:dyDescent="0.3">
      <c r="A182" s="273"/>
      <c r="B182" s="307"/>
      <c r="C182" s="308"/>
      <c r="D182" s="308"/>
      <c r="E182" s="308"/>
      <c r="F182" s="308"/>
      <c r="G182" s="274"/>
      <c r="H182" s="274"/>
    </row>
    <row r="183" spans="1:9" ht="13.9" customHeight="1" thickBot="1" x14ac:dyDescent="0.3">
      <c r="A183" s="273"/>
      <c r="B183" s="309" t="s">
        <v>116</v>
      </c>
      <c r="C183" s="310">
        <f>C79+C106+C133+C153+C171</f>
        <v>0</v>
      </c>
      <c r="D183" s="310">
        <f>+D38+D79+D106+D133+D153+D171</f>
        <v>124682.60838999996</v>
      </c>
      <c r="E183" s="310">
        <f t="shared" ref="E183:F183" si="27">+E38+E79+E106+E133+E153+E171</f>
        <v>193297.87699999995</v>
      </c>
      <c r="F183" s="310">
        <f t="shared" si="27"/>
        <v>276651.25178527</v>
      </c>
      <c r="G183" s="274"/>
      <c r="H183" s="274"/>
    </row>
    <row r="184" spans="1:9" ht="13.9" customHeight="1" thickBot="1" x14ac:dyDescent="0.3">
      <c r="A184" s="273"/>
      <c r="B184" s="309" t="s">
        <v>117</v>
      </c>
      <c r="C184" s="310">
        <f>C96+C121+C143+C163+C181</f>
        <v>0</v>
      </c>
      <c r="D184" s="310">
        <f>+D59+D96+D121+D143+D163+D181</f>
        <v>124682.60838999998</v>
      </c>
      <c r="E184" s="310">
        <f>+E59+E96+E121+E143+E163+E181</f>
        <v>193297.87699999995</v>
      </c>
      <c r="F184" s="310">
        <f>+F59+F96+F121+F143+F163+F181</f>
        <v>276651.25178527</v>
      </c>
      <c r="G184" s="344"/>
      <c r="H184" s="344"/>
    </row>
    <row r="185" spans="1:9" ht="16.899999999999999" customHeight="1" thickBot="1" x14ac:dyDescent="0.3">
      <c r="A185" s="273"/>
      <c r="B185" s="311" t="s">
        <v>24</v>
      </c>
      <c r="C185" s="312"/>
      <c r="D185" s="313" t="e">
        <f>D184/C184-1</f>
        <v>#DIV/0!</v>
      </c>
      <c r="E185" s="313">
        <f>E184/D184-1</f>
        <v>0.55031948317423218</v>
      </c>
      <c r="F185" s="313">
        <f t="shared" ref="F185" si="28">F184/E184-1</f>
        <v>0.43121722845031596</v>
      </c>
      <c r="G185" s="345"/>
      <c r="H185" s="345"/>
    </row>
    <row r="186" spans="1:9" ht="13.9" customHeight="1" thickBot="1" x14ac:dyDescent="0.3">
      <c r="A186" s="273"/>
      <c r="B186" s="291" t="s">
        <v>0</v>
      </c>
      <c r="C186" s="1170">
        <f>C114</f>
        <v>0</v>
      </c>
      <c r="D186" s="1170">
        <f>D46+D87+D114</f>
        <v>56133.259999999987</v>
      </c>
      <c r="E186" s="1170">
        <f t="shared" ref="E186:F186" si="29">E46+E87+E114</f>
        <v>112078.78599999996</v>
      </c>
      <c r="F186" s="1170">
        <f t="shared" si="29"/>
        <v>179718.10389999996</v>
      </c>
      <c r="G186" s="1162"/>
      <c r="H186" s="1162"/>
      <c r="I186" s="1162"/>
    </row>
    <row r="187" spans="1:9" ht="13.9" customHeight="1" thickBot="1" x14ac:dyDescent="0.3">
      <c r="A187" s="273"/>
      <c r="B187" s="291"/>
      <c r="C187" s="1170"/>
      <c r="D187" s="1170">
        <f>'01110 PM Form 2 PolAktual 19-21'!D270-'Formati 2.1 01110'!D244</f>
        <v>0.11074925520370926</v>
      </c>
      <c r="E187" s="1170">
        <f>'01110 PM Form 2 PolAktual 19-21'!E270-'Formati 2.1 01110'!E244</f>
        <v>9.9373338383098586E-2</v>
      </c>
      <c r="F187" s="1170">
        <f>'01110 PM Form 2 PolAktual 19-21'!F270-'Formati 2.1 01110'!F244</f>
        <v>0.10928449189952527</v>
      </c>
      <c r="G187" s="1162"/>
      <c r="H187" s="1162"/>
      <c r="I187" s="1162"/>
    </row>
    <row r="188" spans="1:9" ht="13.9" customHeight="1" thickBot="1" x14ac:dyDescent="0.3">
      <c r="A188" s="273"/>
      <c r="B188" s="291" t="s">
        <v>49</v>
      </c>
      <c r="C188" s="1170">
        <f>C115</f>
        <v>0</v>
      </c>
      <c r="D188" s="1170">
        <f>D49+D88+D115</f>
        <v>1783.5120000000015</v>
      </c>
      <c r="E188" s="1170">
        <f t="shared" ref="E188:F188" si="30">E49+E88+E115</f>
        <v>10646.9632</v>
      </c>
      <c r="F188" s="1170">
        <f t="shared" si="30"/>
        <v>21411.507680000006</v>
      </c>
      <c r="G188" s="1162"/>
      <c r="H188" s="1162"/>
      <c r="I188" s="1162"/>
    </row>
    <row r="189" spans="1:9" ht="13.9" customHeight="1" thickBot="1" x14ac:dyDescent="0.3">
      <c r="A189" s="273"/>
      <c r="B189" s="291"/>
      <c r="C189" s="1170"/>
      <c r="D189" s="1170">
        <f>'01110 PM Form 2 PolAktual 19-21'!D272-'Formati 2.1 01110'!D246</f>
        <v>1.8883133933297991E-2</v>
      </c>
      <c r="E189" s="1170">
        <f>'01110 PM Form 2 PolAktual 19-21'!E272-'Formati 2.1 01110'!E246</f>
        <v>9.2103582377831117E-2</v>
      </c>
      <c r="F189" s="1170">
        <f>'01110 PM Form 2 PolAktual 19-21'!F272-'Formati 2.1 01110'!F246</f>
        <v>0.1024248860503707</v>
      </c>
      <c r="G189" s="1162"/>
      <c r="H189" s="1162"/>
      <c r="I189" s="1162"/>
    </row>
    <row r="190" spans="1:9" ht="13.9" customHeight="1" thickBot="1" x14ac:dyDescent="0.3">
      <c r="A190" s="273"/>
      <c r="B190" s="291" t="s">
        <v>1</v>
      </c>
      <c r="C190" s="292">
        <f>C89+C116</f>
        <v>0</v>
      </c>
      <c r="D190" s="1170">
        <f>D52+D89+D116</f>
        <v>9225.8363899999968</v>
      </c>
      <c r="E190" s="1170">
        <f t="shared" ref="E190:F190" si="31">E52+E89+E116</f>
        <v>9989.127800000002</v>
      </c>
      <c r="F190" s="1170">
        <f t="shared" si="31"/>
        <v>14893.640205270007</v>
      </c>
      <c r="G190" s="344"/>
      <c r="H190" s="344"/>
      <c r="I190" s="344"/>
    </row>
    <row r="191" spans="1:9" ht="13.9" customHeight="1" thickBot="1" x14ac:dyDescent="0.3">
      <c r="A191" s="273"/>
      <c r="B191" s="291" t="s">
        <v>2</v>
      </c>
      <c r="C191" s="292">
        <v>0</v>
      </c>
      <c r="D191" s="292">
        <v>0</v>
      </c>
      <c r="E191" s="292">
        <v>0</v>
      </c>
      <c r="F191" s="292">
        <v>0</v>
      </c>
      <c r="G191" s="344"/>
      <c r="H191" s="344"/>
    </row>
    <row r="192" spans="1:9" ht="13.9" customHeight="1" thickBot="1" x14ac:dyDescent="0.3">
      <c r="A192" s="273"/>
      <c r="B192" s="291" t="s">
        <v>28</v>
      </c>
      <c r="C192" s="292">
        <v>0</v>
      </c>
      <c r="D192" s="292">
        <v>0</v>
      </c>
      <c r="E192" s="292">
        <v>0</v>
      </c>
      <c r="F192" s="292">
        <v>0</v>
      </c>
      <c r="G192" s="344"/>
      <c r="H192" s="344"/>
    </row>
    <row r="193" spans="1:9" ht="13.9" customHeight="1" thickBot="1" x14ac:dyDescent="0.3">
      <c r="A193" s="273"/>
      <c r="B193" s="291" t="s">
        <v>30</v>
      </c>
      <c r="C193" s="292">
        <v>0</v>
      </c>
      <c r="D193" s="292">
        <v>0</v>
      </c>
      <c r="E193" s="292">
        <v>0</v>
      </c>
      <c r="F193" s="292">
        <v>0</v>
      </c>
      <c r="G193" s="344"/>
      <c r="H193" s="344"/>
    </row>
    <row r="194" spans="1:9" ht="13.9" customHeight="1" thickBot="1" x14ac:dyDescent="0.3">
      <c r="A194" s="273"/>
      <c r="B194" s="291" t="s">
        <v>3</v>
      </c>
      <c r="C194" s="341">
        <f>C120</f>
        <v>0</v>
      </c>
      <c r="D194" s="341">
        <f>D58+D95+D120</f>
        <v>1040</v>
      </c>
      <c r="E194" s="341">
        <f t="shared" ref="E194:F194" si="32">E58+E95+E120</f>
        <v>1083</v>
      </c>
      <c r="F194" s="341">
        <f t="shared" si="32"/>
        <v>1128</v>
      </c>
      <c r="G194" s="344"/>
      <c r="H194" s="344"/>
      <c r="I194" s="344"/>
    </row>
    <row r="195" spans="1:9" ht="13.9" customHeight="1" thickBot="1" x14ac:dyDescent="0.3">
      <c r="A195" s="273"/>
      <c r="B195" s="291" t="s">
        <v>18</v>
      </c>
      <c r="C195" s="292">
        <v>0</v>
      </c>
      <c r="D195" s="292">
        <v>0</v>
      </c>
      <c r="E195" s="292">
        <v>0</v>
      </c>
      <c r="F195" s="292">
        <v>0</v>
      </c>
      <c r="G195" s="344"/>
      <c r="H195" s="344"/>
    </row>
    <row r="196" spans="1:9" ht="13.9" customHeight="1" thickBot="1" x14ac:dyDescent="0.3">
      <c r="A196" s="273"/>
      <c r="B196" s="291" t="s">
        <v>19</v>
      </c>
      <c r="C196" s="341">
        <f>C142+C162+C180</f>
        <v>0</v>
      </c>
      <c r="D196" s="341">
        <f>D142+D162+D180</f>
        <v>56500</v>
      </c>
      <c r="E196" s="341">
        <f>E142+E162+E180</f>
        <v>59500</v>
      </c>
      <c r="F196" s="341">
        <f>F142+F162+F180</f>
        <v>59500</v>
      </c>
      <c r="G196" s="344"/>
      <c r="H196" s="344"/>
    </row>
    <row r="197" spans="1:9" ht="13.9" customHeight="1" thickBot="1" x14ac:dyDescent="0.3">
      <c r="A197" s="273"/>
      <c r="B197" s="325" t="s">
        <v>549</v>
      </c>
      <c r="C197" s="297">
        <f>C186+C188+C190+C191+C192+C193+C194+C195+C196</f>
        <v>0</v>
      </c>
      <c r="D197" s="297">
        <f>D186+D188+D190+D191+D192+D193+D194+D195+D196</f>
        <v>124682.60838999998</v>
      </c>
      <c r="E197" s="297">
        <f t="shared" ref="E197:F197" si="33">E186+E188+E190+E191+E192+E193+E194+E195+E196</f>
        <v>193297.87699999998</v>
      </c>
      <c r="F197" s="297">
        <f t="shared" si="33"/>
        <v>276651.25178526994</v>
      </c>
      <c r="G197" s="344"/>
      <c r="H197" s="344"/>
    </row>
    <row r="198" spans="1:9" ht="13.9" customHeight="1" thickBot="1" x14ac:dyDescent="0.3">
      <c r="A198" s="273"/>
      <c r="B198" s="296" t="s">
        <v>70</v>
      </c>
      <c r="C198" s="297">
        <f>C197-C183</f>
        <v>0</v>
      </c>
      <c r="D198" s="297">
        <f>D197-D183</f>
        <v>0</v>
      </c>
      <c r="E198" s="297">
        <f>E197-E183</f>
        <v>0</v>
      </c>
      <c r="F198" s="297">
        <f>F197-F183</f>
        <v>0</v>
      </c>
      <c r="G198" s="344"/>
      <c r="H198" s="344"/>
    </row>
    <row r="199" spans="1:9" ht="13.9" customHeight="1" x14ac:dyDescent="0.25">
      <c r="A199" s="273"/>
      <c r="B199" s="317"/>
      <c r="C199" s="318"/>
      <c r="D199" s="318">
        <f>'01110 PM Form 2 PolAktual 19-21'!D287-'Formati 2.1 01110'!D261</f>
        <v>124682.60839000007</v>
      </c>
      <c r="E199" s="318">
        <f>'01110 PM Form 2 PolAktual 19-21'!E287-'Formati 2.1 01110'!E261</f>
        <v>193297.87699999998</v>
      </c>
      <c r="F199" s="318">
        <f>'01110 PM Form 2 PolAktual 19-21'!F287-'Formati 2.1 01110'!F261</f>
        <v>276651.25178526994</v>
      </c>
      <c r="G199" s="1162"/>
      <c r="H199" s="1162"/>
      <c r="I199" s="1173"/>
    </row>
    <row r="200" spans="1:9" ht="13.9" customHeight="1" thickBot="1" x14ac:dyDescent="0.3">
      <c r="A200" s="273"/>
      <c r="B200" s="317"/>
      <c r="C200" s="318"/>
      <c r="D200" s="1506">
        <f>D197-D199</f>
        <v>0</v>
      </c>
      <c r="E200" s="1506">
        <f t="shared" ref="E200:F200" si="34">E197-E199</f>
        <v>0</v>
      </c>
      <c r="F200" s="1506">
        <f t="shared" si="34"/>
        <v>0</v>
      </c>
      <c r="G200" s="274"/>
      <c r="H200" s="274"/>
    </row>
    <row r="201" spans="1:9" ht="13.9" customHeight="1" x14ac:dyDescent="0.25">
      <c r="A201" s="2137" t="s">
        <v>122</v>
      </c>
      <c r="B201" s="350"/>
      <c r="C201" s="2140" t="s">
        <v>83</v>
      </c>
      <c r="D201" s="351" t="s">
        <v>80</v>
      </c>
      <c r="E201" s="352"/>
      <c r="F201" s="2140" t="s">
        <v>118</v>
      </c>
      <c r="G201" s="351" t="s">
        <v>80</v>
      </c>
      <c r="H201" s="352"/>
    </row>
    <row r="202" spans="1:9" ht="13.9" customHeight="1" x14ac:dyDescent="0.25">
      <c r="A202" s="2138"/>
      <c r="B202" s="353"/>
      <c r="C202" s="2141"/>
      <c r="D202" s="354" t="s">
        <v>81</v>
      </c>
      <c r="E202" s="355"/>
      <c r="F202" s="2141"/>
      <c r="G202" s="354" t="s">
        <v>81</v>
      </c>
      <c r="H202" s="355"/>
    </row>
    <row r="203" spans="1:9" ht="13.9" customHeight="1" thickBot="1" x14ac:dyDescent="0.3">
      <c r="A203" s="2139"/>
      <c r="B203" s="356"/>
      <c r="C203" s="2142"/>
      <c r="D203" s="357" t="s">
        <v>82</v>
      </c>
      <c r="E203" s="358"/>
      <c r="F203" s="2142"/>
      <c r="G203" s="357" t="s">
        <v>82</v>
      </c>
      <c r="H203" s="358"/>
    </row>
    <row r="204" spans="1:9" ht="13.9" customHeight="1" x14ac:dyDescent="0.25">
      <c r="C204" s="318"/>
      <c r="D204" s="318"/>
      <c r="E204" s="318"/>
      <c r="F204" s="318"/>
      <c r="G204" s="318"/>
    </row>
    <row r="205" spans="1:9" ht="13.9" customHeight="1" thickBot="1" x14ac:dyDescent="0.3"/>
    <row r="206" spans="1:9" ht="15.75" thickBot="1" x14ac:dyDescent="0.3">
      <c r="A206" s="30"/>
      <c r="B206" s="32" t="s">
        <v>86</v>
      </c>
      <c r="C206" s="31"/>
      <c r="E206" s="30"/>
      <c r="F206" s="31"/>
      <c r="G206" s="31"/>
    </row>
    <row r="207" spans="1:9" ht="29.25" customHeight="1" x14ac:dyDescent="0.25">
      <c r="B207" s="2281" t="s">
        <v>129</v>
      </c>
      <c r="C207" s="2282"/>
      <c r="D207" s="2282"/>
      <c r="E207" s="2282"/>
      <c r="F207" s="2283"/>
    </row>
    <row r="208" spans="1:9" ht="21" customHeight="1" x14ac:dyDescent="0.25">
      <c r="B208" s="2284" t="s">
        <v>133</v>
      </c>
      <c r="C208" s="2285"/>
      <c r="D208" s="2285"/>
      <c r="E208" s="2285"/>
      <c r="F208" s="2286"/>
    </row>
    <row r="209" spans="2:6" ht="30" customHeight="1" x14ac:dyDescent="0.25">
      <c r="B209" s="2287" t="s">
        <v>132</v>
      </c>
      <c r="C209" s="2288"/>
      <c r="D209" s="2288"/>
      <c r="E209" s="2288"/>
      <c r="F209" s="2289"/>
    </row>
    <row r="210" spans="2:6" ht="27" customHeight="1" thickBot="1" x14ac:dyDescent="0.3">
      <c r="B210" s="2290" t="s">
        <v>134</v>
      </c>
      <c r="C210" s="2291"/>
      <c r="D210" s="2291"/>
      <c r="E210" s="2291"/>
      <c r="F210" s="2292"/>
    </row>
  </sheetData>
  <mergeCells count="64">
    <mergeCell ref="B2:F2"/>
    <mergeCell ref="B3:F3"/>
    <mergeCell ref="B71:F71"/>
    <mergeCell ref="B72:F72"/>
    <mergeCell ref="C23:F23"/>
    <mergeCell ref="B24:F24"/>
    <mergeCell ref="B30:F30"/>
    <mergeCell ref="C61:F61"/>
    <mergeCell ref="B62:F62"/>
    <mergeCell ref="C7:F7"/>
    <mergeCell ref="C5:F5"/>
    <mergeCell ref="B8:B9"/>
    <mergeCell ref="C6:F6"/>
    <mergeCell ref="B31:F31"/>
    <mergeCell ref="C32:F32"/>
    <mergeCell ref="C33:F33"/>
    <mergeCell ref="C34:F34"/>
    <mergeCell ref="B35:B36"/>
    <mergeCell ref="B43:F43"/>
    <mergeCell ref="B44:B45"/>
    <mergeCell ref="C73:F73"/>
    <mergeCell ref="C74:F74"/>
    <mergeCell ref="C75:F75"/>
    <mergeCell ref="C127:F127"/>
    <mergeCell ref="B84:F84"/>
    <mergeCell ref="B85:B86"/>
    <mergeCell ref="B98:F98"/>
    <mergeCell ref="B99:F99"/>
    <mergeCell ref="C100:F100"/>
    <mergeCell ref="C101:F101"/>
    <mergeCell ref="C102:F102"/>
    <mergeCell ref="B103:B104"/>
    <mergeCell ref="B111:F111"/>
    <mergeCell ref="B112:B113"/>
    <mergeCell ref="C125:F125"/>
    <mergeCell ref="B76:B77"/>
    <mergeCell ref="B150:B151"/>
    <mergeCell ref="C128:F128"/>
    <mergeCell ref="C129:F129"/>
    <mergeCell ref="B130:B131"/>
    <mergeCell ref="B138:F138"/>
    <mergeCell ref="B139:B140"/>
    <mergeCell ref="B144:F144"/>
    <mergeCell ref="B145:F145"/>
    <mergeCell ref="C146:F146"/>
    <mergeCell ref="C147:F147"/>
    <mergeCell ref="C148:F148"/>
    <mergeCell ref="C149:F149"/>
    <mergeCell ref="A201:A203"/>
    <mergeCell ref="C201:C203"/>
    <mergeCell ref="F201:F203"/>
    <mergeCell ref="B158:F158"/>
    <mergeCell ref="B159:B160"/>
    <mergeCell ref="C164:F164"/>
    <mergeCell ref="C165:F165"/>
    <mergeCell ref="C166:F166"/>
    <mergeCell ref="C167:F167"/>
    <mergeCell ref="B207:F207"/>
    <mergeCell ref="B208:F208"/>
    <mergeCell ref="B209:F209"/>
    <mergeCell ref="B210:F210"/>
    <mergeCell ref="B168:B169"/>
    <mergeCell ref="B176:F176"/>
    <mergeCell ref="B177:B178"/>
  </mergeCells>
  <printOptions horizontalCentered="1" verticalCentered="1"/>
  <pageMargins left="0.7" right="0.7" top="0.75" bottom="0.75" header="0.3" footer="0.3"/>
  <pageSetup scale="67" orientation="portrait"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89"/>
  <sheetViews>
    <sheetView showGridLines="0" topLeftCell="A10" zoomScaleNormal="100" workbookViewId="0">
      <selection activeCell="C19" sqref="C19:L24"/>
    </sheetView>
  </sheetViews>
  <sheetFormatPr defaultColWidth="9.140625" defaultRowHeight="11.25" customHeight="1" x14ac:dyDescent="0.2"/>
  <cols>
    <col min="1" max="1" width="3.28515625" style="591" customWidth="1"/>
    <col min="2" max="2" width="3.42578125" style="591" hidden="1" customWidth="1"/>
    <col min="3" max="3" width="14" style="592" customWidth="1"/>
    <col min="4" max="4" width="9.28515625" style="592" customWidth="1"/>
    <col min="5" max="5" width="12" style="592" customWidth="1"/>
    <col min="6" max="6" width="9.5703125" style="592" customWidth="1"/>
    <col min="7" max="7" width="7.5703125" style="592" customWidth="1"/>
    <col min="8" max="8" width="15" style="592" customWidth="1"/>
    <col min="9" max="9" width="10.85546875" style="592" customWidth="1"/>
    <col min="10" max="10" width="14.28515625" style="592" customWidth="1"/>
    <col min="11" max="11" width="8" style="592" customWidth="1"/>
    <col min="12" max="12" width="23.85546875" style="592" customWidth="1"/>
    <col min="13" max="13" width="11.28515625" style="591" customWidth="1"/>
    <col min="14" max="256" width="11.42578125" style="591" customWidth="1"/>
    <col min="257" max="16384" width="9.140625" style="591"/>
  </cols>
  <sheetData>
    <row r="1" spans="1:14" ht="11.25" customHeight="1" x14ac:dyDescent="0.2">
      <c r="A1" s="616"/>
      <c r="C1" s="615" t="s">
        <v>584</v>
      </c>
      <c r="H1" s="615"/>
      <c r="M1" s="596"/>
      <c r="N1" s="596"/>
    </row>
    <row r="2" spans="1:14" ht="11.25" customHeight="1" x14ac:dyDescent="0.2">
      <c r="M2" s="596"/>
      <c r="N2" s="596"/>
    </row>
    <row r="3" spans="1:14" ht="11.25" customHeight="1" x14ac:dyDescent="0.2">
      <c r="M3" s="596"/>
      <c r="N3" s="596"/>
    </row>
    <row r="4" spans="1:14" ht="18" customHeight="1" x14ac:dyDescent="0.2">
      <c r="C4" s="606" t="s">
        <v>583</v>
      </c>
      <c r="D4" s="614">
        <v>2019</v>
      </c>
      <c r="M4" s="596"/>
      <c r="N4" s="596"/>
    </row>
    <row r="5" spans="1:14" ht="11.25" customHeight="1" x14ac:dyDescent="0.2">
      <c r="M5" s="596"/>
      <c r="N5" s="596"/>
    </row>
    <row r="6" spans="1:14" ht="14.45" customHeight="1" x14ac:dyDescent="0.2">
      <c r="A6" s="609" t="s">
        <v>87</v>
      </c>
      <c r="B6" s="608" t="s">
        <v>180</v>
      </c>
      <c r="C6" s="606" t="s">
        <v>88</v>
      </c>
      <c r="D6" s="613" t="s">
        <v>566</v>
      </c>
      <c r="E6" s="612"/>
      <c r="F6" s="612"/>
      <c r="G6" s="612"/>
      <c r="H6" s="612"/>
      <c r="I6" s="612"/>
      <c r="J6" s="612"/>
      <c r="K6" s="612"/>
      <c r="L6" s="611"/>
      <c r="M6" s="596"/>
      <c r="N6" s="596"/>
    </row>
    <row r="7" spans="1:14" ht="11.25" customHeight="1" x14ac:dyDescent="0.2">
      <c r="B7" s="610"/>
      <c r="M7" s="596"/>
      <c r="N7" s="596"/>
    </row>
    <row r="8" spans="1:14" ht="11.25" customHeight="1" x14ac:dyDescent="0.2">
      <c r="A8" s="609" t="s">
        <v>4</v>
      </c>
      <c r="B8" s="608" t="s">
        <v>223</v>
      </c>
      <c r="C8" s="606" t="s">
        <v>96</v>
      </c>
      <c r="D8" s="606"/>
      <c r="E8" s="2295" t="s">
        <v>589</v>
      </c>
      <c r="F8" s="2296"/>
      <c r="G8" s="2296"/>
      <c r="H8" s="2296"/>
      <c r="I8" s="2296"/>
      <c r="J8" s="2296"/>
      <c r="K8" s="2296"/>
      <c r="L8" s="2297"/>
      <c r="M8" s="596"/>
      <c r="N8" s="596"/>
    </row>
    <row r="9" spans="1:14" ht="11.25" customHeight="1" x14ac:dyDescent="0.2">
      <c r="M9" s="596"/>
      <c r="N9" s="596"/>
    </row>
    <row r="10" spans="1:14" ht="11.25" customHeight="1" x14ac:dyDescent="0.2">
      <c r="C10" s="606" t="s">
        <v>493</v>
      </c>
      <c r="D10" s="606"/>
      <c r="M10" s="596"/>
      <c r="N10" s="596"/>
    </row>
    <row r="11" spans="1:14" ht="11.25" customHeight="1" x14ac:dyDescent="0.2">
      <c r="C11" s="2298" t="s">
        <v>588</v>
      </c>
      <c r="D11" s="2299"/>
      <c r="E11" s="2299"/>
      <c r="F11" s="2299"/>
      <c r="G11" s="2299"/>
      <c r="H11" s="2299"/>
      <c r="I11" s="2299"/>
      <c r="J11" s="2299"/>
      <c r="K11" s="2299"/>
      <c r="L11" s="2300"/>
      <c r="M11" s="596"/>
      <c r="N11" s="596"/>
    </row>
    <row r="12" spans="1:14" ht="11.25" customHeight="1" x14ac:dyDescent="0.2">
      <c r="C12" s="2301"/>
      <c r="D12" s="2302"/>
      <c r="E12" s="2302"/>
      <c r="F12" s="2302"/>
      <c r="G12" s="2302"/>
      <c r="H12" s="2302"/>
      <c r="I12" s="2302"/>
      <c r="J12" s="2302"/>
      <c r="K12" s="2302"/>
      <c r="L12" s="2303"/>
      <c r="M12" s="596"/>
      <c r="N12" s="596"/>
    </row>
    <row r="13" spans="1:14" ht="11.25" customHeight="1" x14ac:dyDescent="0.2">
      <c r="C13" s="2301"/>
      <c r="D13" s="2302"/>
      <c r="E13" s="2302"/>
      <c r="F13" s="2302"/>
      <c r="G13" s="2302"/>
      <c r="H13" s="2302"/>
      <c r="I13" s="2302"/>
      <c r="J13" s="2302"/>
      <c r="K13" s="2302"/>
      <c r="L13" s="2303"/>
      <c r="M13" s="596"/>
      <c r="N13" s="596"/>
    </row>
    <row r="14" spans="1:14" ht="11.25" customHeight="1" x14ac:dyDescent="0.2">
      <c r="C14" s="2301"/>
      <c r="D14" s="2302"/>
      <c r="E14" s="2302"/>
      <c r="F14" s="2302"/>
      <c r="G14" s="2302"/>
      <c r="H14" s="2302"/>
      <c r="I14" s="2302"/>
      <c r="J14" s="2302"/>
      <c r="K14" s="2302"/>
      <c r="L14" s="2303"/>
      <c r="M14" s="596"/>
      <c r="N14" s="596"/>
    </row>
    <row r="15" spans="1:14" ht="11.25" customHeight="1" x14ac:dyDescent="0.2">
      <c r="C15" s="2301"/>
      <c r="D15" s="2302"/>
      <c r="E15" s="2302"/>
      <c r="F15" s="2302"/>
      <c r="G15" s="2302"/>
      <c r="H15" s="2302"/>
      <c r="I15" s="2302"/>
      <c r="J15" s="2302"/>
      <c r="K15" s="2302"/>
      <c r="L15" s="2303"/>
      <c r="M15" s="596"/>
      <c r="N15" s="596"/>
    </row>
    <row r="16" spans="1:14" ht="8.4499999999999993" customHeight="1" x14ac:dyDescent="0.2">
      <c r="C16" s="2304"/>
      <c r="D16" s="2305"/>
      <c r="E16" s="2305"/>
      <c r="F16" s="2305"/>
      <c r="G16" s="2305"/>
      <c r="H16" s="2305"/>
      <c r="I16" s="2305"/>
      <c r="J16" s="2305"/>
      <c r="K16" s="2305"/>
      <c r="L16" s="2306"/>
      <c r="M16" s="596"/>
      <c r="N16" s="596"/>
    </row>
    <row r="17" spans="3:14" ht="11.25" customHeight="1" x14ac:dyDescent="0.2">
      <c r="C17" s="607"/>
      <c r="D17" s="607"/>
      <c r="E17" s="607"/>
      <c r="F17" s="607"/>
      <c r="G17" s="607"/>
      <c r="H17" s="607"/>
      <c r="I17" s="607"/>
      <c r="J17" s="607"/>
      <c r="K17" s="607"/>
      <c r="L17" s="607"/>
      <c r="M17" s="596"/>
      <c r="N17" s="596"/>
    </row>
    <row r="18" spans="3:14" ht="16.899999999999999" customHeight="1" x14ac:dyDescent="0.2">
      <c r="C18" s="606" t="s">
        <v>137</v>
      </c>
      <c r="D18" s="606"/>
      <c r="M18" s="596"/>
      <c r="N18" s="596"/>
    </row>
    <row r="19" spans="3:14" ht="11.25" customHeight="1" x14ac:dyDescent="0.2">
      <c r="C19" s="2298" t="s">
        <v>939</v>
      </c>
      <c r="D19" s="2299"/>
      <c r="E19" s="2299"/>
      <c r="F19" s="2299"/>
      <c r="G19" s="2299"/>
      <c r="H19" s="2299"/>
      <c r="I19" s="2299"/>
      <c r="J19" s="2299"/>
      <c r="K19" s="2299"/>
      <c r="L19" s="2300"/>
      <c r="M19" s="596"/>
      <c r="N19" s="596"/>
    </row>
    <row r="20" spans="3:14" ht="11.25" customHeight="1" x14ac:dyDescent="0.2">
      <c r="C20" s="2301"/>
      <c r="D20" s="2302"/>
      <c r="E20" s="2302"/>
      <c r="F20" s="2302"/>
      <c r="G20" s="2302"/>
      <c r="H20" s="2302"/>
      <c r="I20" s="2302"/>
      <c r="J20" s="2302"/>
      <c r="K20" s="2302"/>
      <c r="L20" s="2303"/>
      <c r="M20" s="596"/>
      <c r="N20" s="596"/>
    </row>
    <row r="21" spans="3:14" ht="11.25" customHeight="1" x14ac:dyDescent="0.2">
      <c r="C21" s="2301"/>
      <c r="D21" s="2302"/>
      <c r="E21" s="2302"/>
      <c r="F21" s="2302"/>
      <c r="G21" s="2302"/>
      <c r="H21" s="2302"/>
      <c r="I21" s="2302"/>
      <c r="J21" s="2302"/>
      <c r="K21" s="2302"/>
      <c r="L21" s="2303"/>
      <c r="M21" s="596"/>
      <c r="N21" s="596"/>
    </row>
    <row r="22" spans="3:14" ht="11.25" customHeight="1" x14ac:dyDescent="0.2">
      <c r="C22" s="2301"/>
      <c r="D22" s="2302"/>
      <c r="E22" s="2302"/>
      <c r="F22" s="2302"/>
      <c r="G22" s="2302"/>
      <c r="H22" s="2302"/>
      <c r="I22" s="2302"/>
      <c r="J22" s="2302"/>
      <c r="K22" s="2302"/>
      <c r="L22" s="2303"/>
      <c r="M22" s="596"/>
      <c r="N22" s="596"/>
    </row>
    <row r="23" spans="3:14" ht="4.1500000000000004" customHeight="1" x14ac:dyDescent="0.2">
      <c r="C23" s="2301"/>
      <c r="D23" s="2302"/>
      <c r="E23" s="2302"/>
      <c r="F23" s="2302"/>
      <c r="G23" s="2302"/>
      <c r="H23" s="2302"/>
      <c r="I23" s="2302"/>
      <c r="J23" s="2302"/>
      <c r="K23" s="2302"/>
      <c r="L23" s="2303"/>
      <c r="M23" s="596"/>
      <c r="N23" s="596"/>
    </row>
    <row r="24" spans="3:14" ht="34.9" hidden="1" customHeight="1" x14ac:dyDescent="0.2">
      <c r="C24" s="2304"/>
      <c r="D24" s="2305"/>
      <c r="E24" s="2305"/>
      <c r="F24" s="2305"/>
      <c r="G24" s="2305"/>
      <c r="H24" s="2305"/>
      <c r="I24" s="2305"/>
      <c r="J24" s="2305"/>
      <c r="K24" s="2305"/>
      <c r="L24" s="2306"/>
      <c r="M24" s="596"/>
      <c r="N24" s="596"/>
    </row>
    <row r="25" spans="3:14" ht="11.25" customHeight="1" x14ac:dyDescent="0.2">
      <c r="M25" s="596"/>
      <c r="N25" s="596"/>
    </row>
    <row r="26" spans="3:14" ht="16.149999999999999" customHeight="1" x14ac:dyDescent="0.2">
      <c r="C26" s="606" t="s">
        <v>581</v>
      </c>
      <c r="D26" s="606"/>
      <c r="E26" s="606"/>
      <c r="M26" s="596"/>
      <c r="N26" s="596"/>
    </row>
    <row r="27" spans="3:14" ht="16.5" customHeight="1" x14ac:dyDescent="0.2">
      <c r="C27" s="606" t="s">
        <v>587</v>
      </c>
      <c r="M27" s="596"/>
      <c r="N27" s="596"/>
    </row>
    <row r="28" spans="3:14" ht="11.25" customHeight="1" x14ac:dyDescent="0.2">
      <c r="C28" s="2307" t="s">
        <v>940</v>
      </c>
      <c r="D28" s="2308"/>
      <c r="E28" s="2308"/>
      <c r="F28" s="2308"/>
      <c r="G28" s="2308"/>
      <c r="H28" s="2308"/>
      <c r="I28" s="2308"/>
      <c r="J28" s="2308"/>
      <c r="K28" s="2308"/>
      <c r="L28" s="2309"/>
      <c r="M28" s="596"/>
      <c r="N28" s="596"/>
    </row>
    <row r="29" spans="3:14" ht="11.25" customHeight="1" x14ac:dyDescent="0.2">
      <c r="C29" s="2310"/>
      <c r="D29" s="2311"/>
      <c r="E29" s="2311"/>
      <c r="F29" s="2311"/>
      <c r="G29" s="2311"/>
      <c r="H29" s="2311"/>
      <c r="I29" s="2311"/>
      <c r="J29" s="2311"/>
      <c r="K29" s="2311"/>
      <c r="L29" s="2312"/>
      <c r="M29" s="596"/>
      <c r="N29" s="596"/>
    </row>
    <row r="30" spans="3:14" ht="11.25" customHeight="1" x14ac:dyDescent="0.2">
      <c r="C30" s="2310"/>
      <c r="D30" s="2311"/>
      <c r="E30" s="2311"/>
      <c r="F30" s="2311"/>
      <c r="G30" s="2311"/>
      <c r="H30" s="2311"/>
      <c r="I30" s="2311"/>
      <c r="J30" s="2311"/>
      <c r="K30" s="2311"/>
      <c r="L30" s="2312"/>
      <c r="M30" s="596"/>
      <c r="N30" s="596"/>
    </row>
    <row r="31" spans="3:14" ht="11.25" customHeight="1" x14ac:dyDescent="0.2">
      <c r="C31" s="2310"/>
      <c r="D31" s="2311"/>
      <c r="E31" s="2311"/>
      <c r="F31" s="2311"/>
      <c r="G31" s="2311"/>
      <c r="H31" s="2311"/>
      <c r="I31" s="2311"/>
      <c r="J31" s="2311"/>
      <c r="K31" s="2311"/>
      <c r="L31" s="2312"/>
      <c r="M31" s="596"/>
      <c r="N31" s="596"/>
    </row>
    <row r="32" spans="3:14" ht="11.25" customHeight="1" x14ac:dyDescent="0.2">
      <c r="C32" s="2310"/>
      <c r="D32" s="2311"/>
      <c r="E32" s="2311"/>
      <c r="F32" s="2311"/>
      <c r="G32" s="2311"/>
      <c r="H32" s="2311"/>
      <c r="I32" s="2311"/>
      <c r="J32" s="2311"/>
      <c r="K32" s="2311"/>
      <c r="L32" s="2312"/>
      <c r="M32" s="596"/>
      <c r="N32" s="596"/>
    </row>
    <row r="33" spans="3:14" ht="228.6" customHeight="1" x14ac:dyDescent="0.2">
      <c r="C33" s="2313"/>
      <c r="D33" s="2314"/>
      <c r="E33" s="2314"/>
      <c r="F33" s="2314"/>
      <c r="G33" s="2314"/>
      <c r="H33" s="2314"/>
      <c r="I33" s="2314"/>
      <c r="J33" s="2314"/>
      <c r="K33" s="2314"/>
      <c r="L33" s="2315"/>
      <c r="M33" s="596"/>
      <c r="N33" s="596"/>
    </row>
    <row r="34" spans="3:14" ht="27.75" customHeight="1" x14ac:dyDescent="0.2">
      <c r="C34" s="606" t="s">
        <v>937</v>
      </c>
      <c r="M34" s="596"/>
      <c r="N34" s="596"/>
    </row>
    <row r="35" spans="3:14" ht="11.25" customHeight="1" x14ac:dyDescent="0.2">
      <c r="C35" s="2307" t="s">
        <v>941</v>
      </c>
      <c r="D35" s="2308"/>
      <c r="E35" s="2308"/>
      <c r="F35" s="2308"/>
      <c r="G35" s="2308"/>
      <c r="H35" s="2308"/>
      <c r="I35" s="2308"/>
      <c r="J35" s="2308"/>
      <c r="K35" s="2308"/>
      <c r="L35" s="2309"/>
      <c r="M35" s="596"/>
      <c r="N35" s="596"/>
    </row>
    <row r="36" spans="3:14" ht="11.25" customHeight="1" x14ac:dyDescent="0.2">
      <c r="C36" s="2310"/>
      <c r="D36" s="2311"/>
      <c r="E36" s="2311"/>
      <c r="F36" s="2311"/>
      <c r="G36" s="2311"/>
      <c r="H36" s="2311"/>
      <c r="I36" s="2311"/>
      <c r="J36" s="2311"/>
      <c r="K36" s="2311"/>
      <c r="L36" s="2312"/>
      <c r="M36" s="596"/>
      <c r="N36" s="596"/>
    </row>
    <row r="37" spans="3:14" ht="11.25" customHeight="1" x14ac:dyDescent="0.2">
      <c r="C37" s="2310"/>
      <c r="D37" s="2311"/>
      <c r="E37" s="2311"/>
      <c r="F37" s="2311"/>
      <c r="G37" s="2311"/>
      <c r="H37" s="2311"/>
      <c r="I37" s="2311"/>
      <c r="J37" s="2311"/>
      <c r="K37" s="2311"/>
      <c r="L37" s="2312"/>
      <c r="M37" s="596"/>
      <c r="N37" s="596"/>
    </row>
    <row r="38" spans="3:14" ht="11.25" customHeight="1" x14ac:dyDescent="0.2">
      <c r="C38" s="2310"/>
      <c r="D38" s="2311"/>
      <c r="E38" s="2311"/>
      <c r="F38" s="2311"/>
      <c r="G38" s="2311"/>
      <c r="H38" s="2311"/>
      <c r="I38" s="2311"/>
      <c r="J38" s="2311"/>
      <c r="K38" s="2311"/>
      <c r="L38" s="2312"/>
      <c r="M38" s="596"/>
      <c r="N38" s="596"/>
    </row>
    <row r="39" spans="3:14" ht="10.9" customHeight="1" x14ac:dyDescent="0.2">
      <c r="C39" s="2310"/>
      <c r="D39" s="2311"/>
      <c r="E39" s="2311"/>
      <c r="F39" s="2311"/>
      <c r="G39" s="2311"/>
      <c r="H39" s="2311"/>
      <c r="I39" s="2311"/>
      <c r="J39" s="2311"/>
      <c r="K39" s="2311"/>
      <c r="L39" s="2312"/>
      <c r="M39" s="596"/>
      <c r="N39" s="596"/>
    </row>
    <row r="40" spans="3:14" ht="250.9" customHeight="1" x14ac:dyDescent="0.2">
      <c r="C40" s="2313"/>
      <c r="D40" s="2314"/>
      <c r="E40" s="2314"/>
      <c r="F40" s="2314"/>
      <c r="G40" s="2314"/>
      <c r="H40" s="2314"/>
      <c r="I40" s="2314"/>
      <c r="J40" s="2314"/>
      <c r="K40" s="2314"/>
      <c r="L40" s="2315"/>
      <c r="M40" s="596"/>
      <c r="N40" s="596"/>
    </row>
    <row r="41" spans="3:14" ht="20.25" customHeight="1" x14ac:dyDescent="0.2">
      <c r="C41" s="606" t="s">
        <v>586</v>
      </c>
      <c r="M41" s="596"/>
      <c r="N41" s="596"/>
    </row>
    <row r="42" spans="3:14" ht="11.25" customHeight="1" x14ac:dyDescent="0.2">
      <c r="C42" s="2307" t="s">
        <v>942</v>
      </c>
      <c r="D42" s="2308"/>
      <c r="E42" s="2308"/>
      <c r="F42" s="2308"/>
      <c r="G42" s="2308"/>
      <c r="H42" s="2308"/>
      <c r="I42" s="2308"/>
      <c r="J42" s="2308"/>
      <c r="K42" s="2308"/>
      <c r="L42" s="2309"/>
      <c r="M42" s="596"/>
      <c r="N42" s="596"/>
    </row>
    <row r="43" spans="3:14" ht="11.25" customHeight="1" x14ac:dyDescent="0.2">
      <c r="C43" s="2310"/>
      <c r="D43" s="2311"/>
      <c r="E43" s="2311"/>
      <c r="F43" s="2311"/>
      <c r="G43" s="2311"/>
      <c r="H43" s="2311"/>
      <c r="I43" s="2311"/>
      <c r="J43" s="2311"/>
      <c r="K43" s="2311"/>
      <c r="L43" s="2312"/>
      <c r="M43" s="596"/>
      <c r="N43" s="596"/>
    </row>
    <row r="44" spans="3:14" ht="11.25" customHeight="1" x14ac:dyDescent="0.2">
      <c r="C44" s="2310"/>
      <c r="D44" s="2311"/>
      <c r="E44" s="2311"/>
      <c r="F44" s="2311"/>
      <c r="G44" s="2311"/>
      <c r="H44" s="2311"/>
      <c r="I44" s="2311"/>
      <c r="J44" s="2311"/>
      <c r="K44" s="2311"/>
      <c r="L44" s="2312"/>
      <c r="M44" s="596"/>
      <c r="N44" s="596"/>
    </row>
    <row r="45" spans="3:14" ht="11.25" customHeight="1" x14ac:dyDescent="0.2">
      <c r="C45" s="2310"/>
      <c r="D45" s="2311"/>
      <c r="E45" s="2311"/>
      <c r="F45" s="2311"/>
      <c r="G45" s="2311"/>
      <c r="H45" s="2311"/>
      <c r="I45" s="2311"/>
      <c r="J45" s="2311"/>
      <c r="K45" s="2311"/>
      <c r="L45" s="2312"/>
      <c r="M45" s="596"/>
      <c r="N45" s="596"/>
    </row>
    <row r="46" spans="3:14" ht="11.25" customHeight="1" x14ac:dyDescent="0.2">
      <c r="C46" s="2310"/>
      <c r="D46" s="2311"/>
      <c r="E46" s="2311"/>
      <c r="F46" s="2311"/>
      <c r="G46" s="2311"/>
      <c r="H46" s="2311"/>
      <c r="I46" s="2311"/>
      <c r="J46" s="2311"/>
      <c r="K46" s="2311"/>
      <c r="L46" s="2312"/>
      <c r="M46" s="596"/>
      <c r="N46" s="596"/>
    </row>
    <row r="47" spans="3:14" ht="214.9" customHeight="1" x14ac:dyDescent="0.2">
      <c r="C47" s="2313"/>
      <c r="D47" s="2314"/>
      <c r="E47" s="2314"/>
      <c r="F47" s="2314"/>
      <c r="G47" s="2314"/>
      <c r="H47" s="2314"/>
      <c r="I47" s="2314"/>
      <c r="J47" s="2314"/>
      <c r="K47" s="2314"/>
      <c r="L47" s="2315"/>
      <c r="M47" s="596"/>
      <c r="N47" s="596"/>
    </row>
    <row r="48" spans="3:14" ht="16.899999999999999" customHeight="1" x14ac:dyDescent="0.2">
      <c r="C48" s="606" t="s">
        <v>585</v>
      </c>
      <c r="M48" s="596"/>
      <c r="N48" s="596"/>
    </row>
    <row r="49" spans="1:14" ht="11.25" customHeight="1" x14ac:dyDescent="0.2">
      <c r="C49" s="2307" t="s">
        <v>943</v>
      </c>
      <c r="D49" s="2308"/>
      <c r="E49" s="2308"/>
      <c r="F49" s="2308"/>
      <c r="G49" s="2308"/>
      <c r="H49" s="2308"/>
      <c r="I49" s="2308"/>
      <c r="J49" s="2308"/>
      <c r="K49" s="2308"/>
      <c r="L49" s="2309"/>
      <c r="M49" s="596"/>
      <c r="N49" s="596"/>
    </row>
    <row r="50" spans="1:14" ht="11.25" customHeight="1" x14ac:dyDescent="0.2">
      <c r="C50" s="2310"/>
      <c r="D50" s="2311"/>
      <c r="E50" s="2311"/>
      <c r="F50" s="2311"/>
      <c r="G50" s="2311"/>
      <c r="H50" s="2311"/>
      <c r="I50" s="2311"/>
      <c r="J50" s="2311"/>
      <c r="K50" s="2311"/>
      <c r="L50" s="2312"/>
      <c r="M50" s="596"/>
      <c r="N50" s="596"/>
    </row>
    <row r="51" spans="1:14" ht="11.25" customHeight="1" x14ac:dyDescent="0.2">
      <c r="C51" s="2310"/>
      <c r="D51" s="2311"/>
      <c r="E51" s="2311"/>
      <c r="F51" s="2311"/>
      <c r="G51" s="2311"/>
      <c r="H51" s="2311"/>
      <c r="I51" s="2311"/>
      <c r="J51" s="2311"/>
      <c r="K51" s="2311"/>
      <c r="L51" s="2312"/>
      <c r="M51" s="596"/>
      <c r="N51" s="596"/>
    </row>
    <row r="52" spans="1:14" ht="11.25" customHeight="1" x14ac:dyDescent="0.2">
      <c r="C52" s="2310"/>
      <c r="D52" s="2311"/>
      <c r="E52" s="2311"/>
      <c r="F52" s="2311"/>
      <c r="G52" s="2311"/>
      <c r="H52" s="2311"/>
      <c r="I52" s="2311"/>
      <c r="J52" s="2311"/>
      <c r="K52" s="2311"/>
      <c r="L52" s="2312"/>
      <c r="M52" s="596"/>
      <c r="N52" s="596"/>
    </row>
    <row r="53" spans="1:14" ht="11.25" customHeight="1" x14ac:dyDescent="0.2">
      <c r="C53" s="2310"/>
      <c r="D53" s="2311"/>
      <c r="E53" s="2311"/>
      <c r="F53" s="2311"/>
      <c r="G53" s="2311"/>
      <c r="H53" s="2311"/>
      <c r="I53" s="2311"/>
      <c r="J53" s="2311"/>
      <c r="K53" s="2311"/>
      <c r="L53" s="2312"/>
      <c r="M53" s="596"/>
      <c r="N53" s="596"/>
    </row>
    <row r="54" spans="1:14" ht="187.9" customHeight="1" x14ac:dyDescent="0.2">
      <c r="C54" s="2313"/>
      <c r="D54" s="2314"/>
      <c r="E54" s="2314"/>
      <c r="F54" s="2314"/>
      <c r="G54" s="2314"/>
      <c r="H54" s="2314"/>
      <c r="I54" s="2314"/>
      <c r="J54" s="2314"/>
      <c r="K54" s="2314"/>
      <c r="L54" s="2315"/>
      <c r="M54" s="596"/>
      <c r="N54" s="596"/>
    </row>
    <row r="55" spans="1:14" ht="11.25" customHeight="1" x14ac:dyDescent="0.2">
      <c r="C55" s="606" t="s">
        <v>572</v>
      </c>
      <c r="D55" s="606"/>
      <c r="E55" s="606"/>
      <c r="M55" s="596"/>
      <c r="N55" s="596"/>
    </row>
    <row r="56" spans="1:14" ht="11.25" customHeight="1" x14ac:dyDescent="0.2">
      <c r="C56" s="2307" t="s">
        <v>938</v>
      </c>
      <c r="D56" s="2308"/>
      <c r="E56" s="2308"/>
      <c r="F56" s="2308"/>
      <c r="G56" s="2308"/>
      <c r="H56" s="2308"/>
      <c r="I56" s="2308"/>
      <c r="J56" s="2308"/>
      <c r="K56" s="2308"/>
      <c r="L56" s="2309"/>
      <c r="M56" s="596"/>
      <c r="N56" s="596"/>
    </row>
    <row r="57" spans="1:14" ht="11.25" customHeight="1" x14ac:dyDescent="0.2">
      <c r="C57" s="2310"/>
      <c r="D57" s="2311"/>
      <c r="E57" s="2311"/>
      <c r="F57" s="2311"/>
      <c r="G57" s="2311"/>
      <c r="H57" s="2311"/>
      <c r="I57" s="2311"/>
      <c r="J57" s="2311"/>
      <c r="K57" s="2311"/>
      <c r="L57" s="2312"/>
      <c r="M57" s="596"/>
      <c r="N57" s="596"/>
    </row>
    <row r="58" spans="1:14" ht="11.25" customHeight="1" x14ac:dyDescent="0.2">
      <c r="C58" s="2310"/>
      <c r="D58" s="2311"/>
      <c r="E58" s="2311"/>
      <c r="F58" s="2311"/>
      <c r="G58" s="2311"/>
      <c r="H58" s="2311"/>
      <c r="I58" s="2311"/>
      <c r="J58" s="2311"/>
      <c r="K58" s="2311"/>
      <c r="L58" s="2312"/>
      <c r="M58" s="596"/>
      <c r="N58" s="596"/>
    </row>
    <row r="59" spans="1:14" ht="11.25" customHeight="1" x14ac:dyDescent="0.2">
      <c r="C59" s="2310"/>
      <c r="D59" s="2311"/>
      <c r="E59" s="2311"/>
      <c r="F59" s="2311"/>
      <c r="G59" s="2311"/>
      <c r="H59" s="2311"/>
      <c r="I59" s="2311"/>
      <c r="J59" s="2311"/>
      <c r="K59" s="2311"/>
      <c r="L59" s="2312"/>
      <c r="M59" s="596"/>
      <c r="N59" s="596"/>
    </row>
    <row r="60" spans="1:14" ht="11.25" customHeight="1" x14ac:dyDescent="0.2">
      <c r="C60" s="2310"/>
      <c r="D60" s="2311"/>
      <c r="E60" s="2311"/>
      <c r="F60" s="2311"/>
      <c r="G60" s="2311"/>
      <c r="H60" s="2311"/>
      <c r="I60" s="2311"/>
      <c r="J60" s="2311"/>
      <c r="K60" s="2311"/>
      <c r="L60" s="2312"/>
      <c r="M60" s="596"/>
      <c r="N60" s="596"/>
    </row>
    <row r="61" spans="1:14" ht="90.6" customHeight="1" x14ac:dyDescent="0.2">
      <c r="C61" s="2313"/>
      <c r="D61" s="2314"/>
      <c r="E61" s="2314"/>
      <c r="F61" s="2314"/>
      <c r="G61" s="2314"/>
      <c r="H61" s="2314"/>
      <c r="I61" s="2314"/>
      <c r="J61" s="2314"/>
      <c r="K61" s="2314"/>
      <c r="L61" s="2315"/>
      <c r="M61" s="596"/>
      <c r="N61" s="596"/>
    </row>
    <row r="62" spans="1:14" ht="11.25" customHeight="1" x14ac:dyDescent="0.2">
      <c r="M62" s="596"/>
      <c r="N62" s="596"/>
    </row>
    <row r="63" spans="1:14" ht="11.25" customHeight="1" x14ac:dyDescent="0.2">
      <c r="M63" s="596"/>
      <c r="N63" s="596"/>
    </row>
    <row r="64" spans="1:14" ht="11.25" customHeight="1" x14ac:dyDescent="0.2">
      <c r="A64" s="2316" t="s">
        <v>487</v>
      </c>
      <c r="B64" s="601" t="s">
        <v>80</v>
      </c>
      <c r="C64" s="603"/>
      <c r="D64" s="602"/>
      <c r="E64" s="2319" t="s">
        <v>488</v>
      </c>
      <c r="F64" s="599" t="s">
        <v>80</v>
      </c>
      <c r="G64" s="603"/>
      <c r="H64" s="602"/>
      <c r="I64" s="605"/>
      <c r="J64" s="599" t="s">
        <v>80</v>
      </c>
      <c r="K64" s="603"/>
      <c r="L64" s="602"/>
      <c r="M64" s="596"/>
      <c r="N64" s="596"/>
    </row>
    <row r="65" spans="1:14" ht="11.25" customHeight="1" x14ac:dyDescent="0.2">
      <c r="A65" s="2317"/>
      <c r="B65" s="601" t="s">
        <v>490</v>
      </c>
      <c r="C65" s="603"/>
      <c r="D65" s="602"/>
      <c r="E65" s="2320"/>
      <c r="F65" s="599" t="s">
        <v>490</v>
      </c>
      <c r="G65" s="603"/>
      <c r="H65" s="602"/>
      <c r="I65" s="604" t="s">
        <v>489</v>
      </c>
      <c r="J65" s="599" t="s">
        <v>490</v>
      </c>
      <c r="K65" s="603"/>
      <c r="L65" s="602"/>
      <c r="M65" s="596"/>
      <c r="N65" s="596"/>
    </row>
    <row r="66" spans="1:14" ht="11.25" customHeight="1" x14ac:dyDescent="0.2">
      <c r="A66" s="2318"/>
      <c r="B66" s="601" t="s">
        <v>82</v>
      </c>
      <c r="C66" s="598"/>
      <c r="D66" s="597"/>
      <c r="E66" s="2321"/>
      <c r="F66" s="599" t="s">
        <v>82</v>
      </c>
      <c r="G66" s="598"/>
      <c r="H66" s="597"/>
      <c r="I66" s="600"/>
      <c r="J66" s="599" t="s">
        <v>82</v>
      </c>
      <c r="K66" s="598"/>
      <c r="L66" s="597"/>
      <c r="M66" s="596"/>
      <c r="N66" s="596"/>
    </row>
    <row r="68" spans="1:14" ht="11.25" customHeight="1" x14ac:dyDescent="0.2">
      <c r="B68" s="594"/>
      <c r="C68" s="595"/>
      <c r="D68" s="593"/>
      <c r="E68" s="593"/>
      <c r="F68" s="593"/>
      <c r="G68" s="593"/>
      <c r="H68" s="593"/>
      <c r="I68" s="593"/>
      <c r="J68" s="593"/>
      <c r="K68" s="593"/>
      <c r="L68" s="593"/>
    </row>
    <row r="69" spans="1:14" ht="11.25" customHeight="1" x14ac:dyDescent="0.2">
      <c r="B69" s="594"/>
      <c r="C69" s="593"/>
      <c r="D69" s="593"/>
      <c r="E69" s="593"/>
      <c r="F69" s="593"/>
      <c r="G69" s="593"/>
      <c r="H69" s="593"/>
      <c r="I69" s="593"/>
      <c r="J69" s="593"/>
      <c r="K69" s="593"/>
      <c r="L69" s="593"/>
    </row>
    <row r="70" spans="1:14" ht="11.25" customHeight="1" x14ac:dyDescent="0.2">
      <c r="B70" s="594"/>
      <c r="C70" s="593"/>
      <c r="D70" s="593"/>
      <c r="E70" s="593"/>
      <c r="F70" s="593"/>
      <c r="G70" s="593"/>
      <c r="H70" s="593"/>
      <c r="I70" s="593"/>
      <c r="J70" s="593"/>
      <c r="K70" s="593"/>
      <c r="L70" s="593"/>
    </row>
    <row r="71" spans="1:14" ht="11.25" customHeight="1" x14ac:dyDescent="0.2">
      <c r="B71" s="594"/>
      <c r="C71" s="593"/>
      <c r="D71" s="593"/>
      <c r="E71" s="593"/>
      <c r="F71" s="593"/>
      <c r="G71" s="593"/>
      <c r="H71" s="593"/>
      <c r="I71" s="593"/>
      <c r="J71" s="593"/>
      <c r="K71" s="593"/>
      <c r="L71" s="593"/>
    </row>
    <row r="72" spans="1:14" ht="11.25" customHeight="1" x14ac:dyDescent="0.2">
      <c r="B72" s="594"/>
      <c r="C72" s="593"/>
      <c r="D72" s="593"/>
      <c r="E72" s="593"/>
      <c r="F72" s="593"/>
      <c r="G72" s="593"/>
      <c r="H72" s="593"/>
      <c r="I72" s="593"/>
      <c r="J72" s="593"/>
      <c r="K72" s="593"/>
      <c r="L72" s="593"/>
    </row>
    <row r="73" spans="1:14" ht="11.25" customHeight="1" x14ac:dyDescent="0.2">
      <c r="B73" s="594"/>
      <c r="C73" s="593"/>
      <c r="D73" s="593"/>
      <c r="E73" s="593"/>
      <c r="F73" s="593"/>
      <c r="G73" s="593"/>
      <c r="H73" s="593"/>
      <c r="I73" s="593"/>
      <c r="J73" s="593"/>
      <c r="K73" s="593"/>
      <c r="L73" s="593"/>
    </row>
    <row r="74" spans="1:14" ht="11.25" customHeight="1" x14ac:dyDescent="0.2">
      <c r="B74" s="594"/>
      <c r="C74" s="593"/>
      <c r="D74" s="593"/>
      <c r="E74" s="593"/>
      <c r="F74" s="593"/>
      <c r="G74" s="593"/>
      <c r="H74" s="593"/>
      <c r="I74" s="593"/>
      <c r="J74" s="593"/>
      <c r="K74" s="593"/>
      <c r="L74" s="593"/>
    </row>
    <row r="75" spans="1:14" ht="11.25" customHeight="1" x14ac:dyDescent="0.2">
      <c r="B75" s="594"/>
      <c r="C75" s="593"/>
      <c r="D75" s="593"/>
      <c r="E75" s="593"/>
      <c r="F75" s="593"/>
      <c r="G75" s="593"/>
      <c r="H75" s="593"/>
      <c r="I75" s="593"/>
      <c r="J75" s="593"/>
      <c r="K75" s="593"/>
      <c r="L75" s="593"/>
    </row>
    <row r="76" spans="1:14" ht="11.25" customHeight="1" x14ac:dyDescent="0.2">
      <c r="B76" s="594"/>
      <c r="C76" s="593"/>
      <c r="D76" s="593"/>
      <c r="E76" s="593"/>
      <c r="F76" s="593"/>
      <c r="G76" s="593"/>
      <c r="H76" s="593"/>
      <c r="I76" s="593"/>
      <c r="J76" s="593"/>
      <c r="K76" s="593"/>
      <c r="L76" s="593"/>
    </row>
    <row r="77" spans="1:14" ht="11.25" customHeight="1" x14ac:dyDescent="0.2">
      <c r="B77" s="594"/>
      <c r="C77" s="593"/>
      <c r="D77" s="593"/>
      <c r="E77" s="593"/>
      <c r="F77" s="593"/>
      <c r="G77" s="593"/>
      <c r="H77" s="593"/>
      <c r="I77" s="593"/>
      <c r="J77" s="593"/>
      <c r="K77" s="593"/>
      <c r="L77" s="593"/>
    </row>
    <row r="78" spans="1:14" ht="11.25" customHeight="1" x14ac:dyDescent="0.2">
      <c r="B78" s="594"/>
      <c r="C78" s="593"/>
      <c r="D78" s="593"/>
      <c r="E78" s="593"/>
      <c r="F78" s="593"/>
      <c r="G78" s="593"/>
      <c r="H78" s="593"/>
      <c r="I78" s="593"/>
      <c r="J78" s="593"/>
      <c r="K78" s="593"/>
      <c r="L78" s="593"/>
    </row>
    <row r="79" spans="1:14" ht="11.25" customHeight="1" x14ac:dyDescent="0.2">
      <c r="B79" s="594"/>
      <c r="C79" s="593"/>
      <c r="D79" s="593"/>
      <c r="E79" s="593"/>
      <c r="F79" s="593"/>
      <c r="G79" s="593"/>
      <c r="H79" s="593"/>
      <c r="I79" s="593"/>
      <c r="J79" s="593"/>
      <c r="K79" s="593"/>
      <c r="L79" s="593"/>
    </row>
    <row r="80" spans="1:14" ht="11.25" customHeight="1" x14ac:dyDescent="0.2">
      <c r="B80" s="594"/>
      <c r="C80" s="593"/>
      <c r="D80" s="593"/>
      <c r="E80" s="593"/>
      <c r="F80" s="593"/>
      <c r="G80" s="593"/>
      <c r="H80" s="593"/>
      <c r="I80" s="593"/>
      <c r="J80" s="593"/>
      <c r="K80" s="593"/>
      <c r="L80" s="593"/>
    </row>
    <row r="81" spans="2:12" ht="11.25" customHeight="1" x14ac:dyDescent="0.2">
      <c r="B81" s="594"/>
      <c r="C81" s="593"/>
      <c r="D81" s="593"/>
      <c r="E81" s="593"/>
      <c r="F81" s="593"/>
      <c r="G81" s="593"/>
      <c r="H81" s="593"/>
      <c r="I81" s="593"/>
      <c r="J81" s="593"/>
      <c r="K81" s="593"/>
      <c r="L81" s="593"/>
    </row>
    <row r="82" spans="2:12" ht="11.25" customHeight="1" x14ac:dyDescent="0.2">
      <c r="B82" s="594"/>
      <c r="C82" s="593"/>
      <c r="D82" s="593"/>
      <c r="E82" s="593"/>
      <c r="F82" s="593"/>
      <c r="G82" s="593"/>
      <c r="H82" s="593"/>
      <c r="I82" s="593"/>
      <c r="J82" s="593"/>
      <c r="K82" s="593"/>
      <c r="L82" s="593"/>
    </row>
    <row r="83" spans="2:12" ht="11.25" customHeight="1" x14ac:dyDescent="0.2">
      <c r="B83" s="594"/>
      <c r="C83" s="593"/>
      <c r="D83" s="593"/>
      <c r="E83" s="593"/>
      <c r="F83" s="593"/>
      <c r="G83" s="593"/>
      <c r="H83" s="593"/>
      <c r="I83" s="593"/>
      <c r="J83" s="593"/>
      <c r="K83" s="593"/>
      <c r="L83" s="593"/>
    </row>
    <row r="84" spans="2:12" ht="11.25" customHeight="1" x14ac:dyDescent="0.2">
      <c r="B84" s="594"/>
      <c r="C84" s="593"/>
      <c r="D84" s="593"/>
      <c r="E84" s="593"/>
      <c r="F84" s="593"/>
      <c r="G84" s="593"/>
      <c r="H84" s="593"/>
      <c r="I84" s="593"/>
      <c r="J84" s="593"/>
      <c r="K84" s="593"/>
      <c r="L84" s="593"/>
    </row>
    <row r="85" spans="2:12" ht="11.25" customHeight="1" x14ac:dyDescent="0.2">
      <c r="B85" s="594"/>
      <c r="C85" s="593"/>
      <c r="D85" s="593"/>
      <c r="E85" s="593"/>
      <c r="F85" s="593"/>
      <c r="G85" s="593"/>
      <c r="H85" s="593"/>
      <c r="I85" s="593"/>
      <c r="J85" s="593"/>
      <c r="K85" s="593"/>
      <c r="L85" s="593"/>
    </row>
    <row r="86" spans="2:12" ht="11.25" customHeight="1" x14ac:dyDescent="0.2">
      <c r="B86" s="594"/>
      <c r="C86" s="593"/>
      <c r="D86" s="593"/>
      <c r="E86" s="593"/>
      <c r="F86" s="593"/>
      <c r="G86" s="593"/>
      <c r="H86" s="593"/>
      <c r="I86" s="593"/>
      <c r="J86" s="593"/>
      <c r="K86" s="593"/>
      <c r="L86" s="593"/>
    </row>
    <row r="87" spans="2:12" ht="11.25" customHeight="1" x14ac:dyDescent="0.2">
      <c r="B87" s="594"/>
      <c r="C87" s="593"/>
      <c r="D87" s="593"/>
      <c r="E87" s="593"/>
      <c r="F87" s="593"/>
      <c r="G87" s="593"/>
      <c r="H87" s="593"/>
      <c r="I87" s="593"/>
      <c r="J87" s="593"/>
      <c r="K87" s="593"/>
      <c r="L87" s="593"/>
    </row>
    <row r="88" spans="2:12" ht="11.25" customHeight="1" x14ac:dyDescent="0.2">
      <c r="B88" s="594"/>
      <c r="C88" s="593"/>
      <c r="D88" s="593"/>
      <c r="E88" s="593"/>
      <c r="F88" s="593"/>
      <c r="G88" s="593"/>
      <c r="H88" s="593"/>
      <c r="I88" s="593"/>
      <c r="J88" s="593"/>
      <c r="K88" s="593"/>
      <c r="L88" s="593"/>
    </row>
    <row r="89" spans="2:12" ht="11.25" customHeight="1" x14ac:dyDescent="0.2">
      <c r="B89" s="594"/>
      <c r="C89" s="593"/>
      <c r="D89" s="593"/>
      <c r="E89" s="593"/>
      <c r="F89" s="593"/>
      <c r="G89" s="593"/>
      <c r="H89" s="593"/>
      <c r="I89" s="593"/>
      <c r="J89" s="593"/>
      <c r="K89" s="593"/>
      <c r="L89" s="593"/>
    </row>
  </sheetData>
  <mergeCells count="10">
    <mergeCell ref="C49:L54"/>
    <mergeCell ref="C56:L61"/>
    <mergeCell ref="A64:A66"/>
    <mergeCell ref="E64:E66"/>
    <mergeCell ref="C35:L40"/>
    <mergeCell ref="E8:L8"/>
    <mergeCell ref="C11:L16"/>
    <mergeCell ref="C19:L24"/>
    <mergeCell ref="C28:L33"/>
    <mergeCell ref="C42:L47"/>
  </mergeCells>
  <pageMargins left="0.23622047244094491" right="0.23622047244094491" top="0.47244094488188981" bottom="0.39370078740157483" header="0" footer="0"/>
  <pageSetup paperSize="9" scale="75" orientation="portrait" horizontalDpi="4294967295" verticalDpi="4294967295" r:id="rId1"/>
  <rowBreaks count="1" manualBreakCount="1">
    <brk id="4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M404"/>
  <sheetViews>
    <sheetView topLeftCell="A145" zoomScale="88" zoomScaleNormal="88" workbookViewId="0">
      <selection activeCell="D147" sqref="D147"/>
    </sheetView>
  </sheetViews>
  <sheetFormatPr defaultColWidth="8.85546875" defaultRowHeight="15" x14ac:dyDescent="0.25"/>
  <cols>
    <col min="1" max="1" width="3.28515625" style="617" customWidth="1"/>
    <col min="2" max="2" width="4.7109375" style="617" customWidth="1"/>
    <col min="3" max="3" width="44.42578125" style="617" customWidth="1"/>
    <col min="4" max="4" width="16.7109375" style="617" customWidth="1"/>
    <col min="5" max="5" width="17.28515625" style="617" customWidth="1"/>
    <col min="6" max="6" width="18" style="617" customWidth="1"/>
    <col min="7" max="7" width="26.28515625" style="617" customWidth="1"/>
    <col min="8" max="9" width="15.7109375" style="617" customWidth="1"/>
    <col min="10" max="10" width="16.140625" style="617" customWidth="1"/>
    <col min="11" max="11" width="16.42578125" style="617" bestFit="1" customWidth="1"/>
    <col min="12" max="12" width="15.42578125" style="617" customWidth="1"/>
    <col min="13" max="13" width="14.28515625" style="617" customWidth="1"/>
    <col min="14" max="14" width="15" style="617" customWidth="1"/>
    <col min="15" max="16384" width="8.85546875" style="617"/>
  </cols>
  <sheetData>
    <row r="2" spans="2:8" ht="18" customHeight="1" x14ac:dyDescent="0.25">
      <c r="C2" s="2322" t="s">
        <v>1026</v>
      </c>
      <c r="D2" s="2322"/>
      <c r="E2" s="2322"/>
      <c r="F2" s="2322"/>
      <c r="G2" s="2322"/>
      <c r="H2" s="720"/>
    </row>
    <row r="3" spans="2:8" ht="18" customHeight="1" x14ac:dyDescent="0.25">
      <c r="B3" s="1148"/>
      <c r="C3" s="2323" t="s">
        <v>1027</v>
      </c>
      <c r="D3" s="2323"/>
      <c r="E3" s="2323"/>
      <c r="F3" s="2323"/>
      <c r="G3" s="2323"/>
      <c r="H3" s="1148"/>
    </row>
    <row r="4" spans="2:8" x14ac:dyDescent="0.25">
      <c r="C4" s="729"/>
      <c r="D4" s="728"/>
      <c r="E4" s="728"/>
      <c r="F4" s="728"/>
      <c r="G4" s="727"/>
    </row>
    <row r="5" spans="2:8" ht="16.5" thickBot="1" x14ac:dyDescent="0.3">
      <c r="C5" s="726" t="s">
        <v>20</v>
      </c>
      <c r="D5" s="2324" t="s">
        <v>480</v>
      </c>
      <c r="E5" s="2324"/>
      <c r="F5" s="2324"/>
      <c r="G5" s="2324"/>
    </row>
    <row r="6" spans="2:8" ht="15.75" thickBot="1" x14ac:dyDescent="0.3">
      <c r="C6" s="725" t="s">
        <v>4</v>
      </c>
      <c r="D6" s="2325" t="s">
        <v>223</v>
      </c>
      <c r="E6" s="2326"/>
      <c r="F6" s="2326"/>
      <c r="G6" s="2327"/>
    </row>
    <row r="7" spans="2:8" ht="15.75" thickBot="1" x14ac:dyDescent="0.3">
      <c r="C7" s="725" t="s">
        <v>35</v>
      </c>
      <c r="D7" s="2166" t="s">
        <v>5</v>
      </c>
      <c r="E7" s="2167"/>
      <c r="F7" s="2167"/>
      <c r="G7" s="2168"/>
    </row>
    <row r="8" spans="2:8" ht="15.75" thickBot="1" x14ac:dyDescent="0.3">
      <c r="C8" s="2328" t="s">
        <v>8</v>
      </c>
      <c r="D8" s="2329"/>
      <c r="E8" s="2329"/>
      <c r="F8" s="2329"/>
      <c r="G8" s="2330"/>
    </row>
    <row r="9" spans="2:8" ht="51.6" customHeight="1" thickBot="1" x14ac:dyDescent="0.3">
      <c r="C9" s="2143" t="s">
        <v>588</v>
      </c>
      <c r="D9" s="2144"/>
      <c r="E9" s="2144"/>
      <c r="F9" s="2144"/>
      <c r="G9" s="2145"/>
    </row>
    <row r="10" spans="2:8" s="274" customFormat="1" ht="18.600000000000001" customHeight="1" thickBot="1" x14ac:dyDescent="0.3">
      <c r="C10" s="724"/>
      <c r="D10" s="723" t="s">
        <v>11</v>
      </c>
      <c r="E10" s="723"/>
      <c r="F10" s="1144"/>
      <c r="G10" s="1145"/>
    </row>
    <row r="11" spans="2:8" ht="85.9" customHeight="1" thickBot="1" x14ac:dyDescent="0.3">
      <c r="C11" s="2143" t="s">
        <v>1025</v>
      </c>
      <c r="D11" s="2144"/>
      <c r="E11" s="2144"/>
      <c r="F11" s="2144"/>
      <c r="G11" s="2145"/>
    </row>
    <row r="12" spans="2:8" s="720" customFormat="1" ht="23.25" customHeight="1" x14ac:dyDescent="0.25">
      <c r="C12" s="2342" t="s">
        <v>119</v>
      </c>
      <c r="D12" s="722">
        <v>2018</v>
      </c>
      <c r="E12" s="722">
        <v>2019</v>
      </c>
      <c r="F12" s="722">
        <v>2020</v>
      </c>
      <c r="G12" s="722">
        <v>2021</v>
      </c>
    </row>
    <row r="13" spans="2:8" s="720" customFormat="1" ht="15.75" thickBot="1" x14ac:dyDescent="0.3">
      <c r="C13" s="2343"/>
      <c r="D13" s="721" t="s">
        <v>6</v>
      </c>
      <c r="E13" s="721" t="s">
        <v>7</v>
      </c>
      <c r="F13" s="721" t="s">
        <v>7</v>
      </c>
      <c r="G13" s="721" t="s">
        <v>7</v>
      </c>
    </row>
    <row r="14" spans="2:8" ht="27" customHeight="1" thickBot="1" x14ac:dyDescent="0.3">
      <c r="C14" s="1384" t="s">
        <v>683</v>
      </c>
      <c r="D14" s="1385">
        <v>0.75737266668536118</v>
      </c>
      <c r="E14" s="1385">
        <v>0.78859044266851308</v>
      </c>
      <c r="F14" s="1385">
        <v>0.82192052127585835</v>
      </c>
      <c r="G14" s="1385">
        <v>0.84863057292666422</v>
      </c>
    </row>
    <row r="15" spans="2:8" ht="23.25" thickBot="1" x14ac:dyDescent="0.3">
      <c r="C15" s="1386" t="s">
        <v>682</v>
      </c>
      <c r="D15" s="1387">
        <v>81026</v>
      </c>
      <c r="E15" s="1387">
        <v>82000</v>
      </c>
      <c r="F15" s="1387">
        <v>83000</v>
      </c>
      <c r="G15" s="1387">
        <v>84000</v>
      </c>
    </row>
    <row r="16" spans="2:8" ht="15.75" thickBot="1" x14ac:dyDescent="0.3">
      <c r="C16" s="1386" t="s">
        <v>692</v>
      </c>
      <c r="D16" s="1387">
        <v>106983</v>
      </c>
      <c r="E16" s="1387">
        <v>103983</v>
      </c>
      <c r="F16" s="1387">
        <v>100983</v>
      </c>
      <c r="G16" s="1387">
        <v>98983</v>
      </c>
    </row>
    <row r="17" spans="2:10" ht="15.75" thickBot="1" x14ac:dyDescent="0.3">
      <c r="C17" s="1386" t="s">
        <v>691</v>
      </c>
      <c r="D17" s="1388">
        <f>D18/D23</f>
        <v>0.12679628064243448</v>
      </c>
      <c r="E17" s="1388">
        <f>E18/E23</f>
        <v>0.12679628064243448</v>
      </c>
      <c r="F17" s="1388">
        <f>F18/F23</f>
        <v>0.12679628064243448</v>
      </c>
      <c r="G17" s="1388">
        <f>G18/G23</f>
        <v>0.12679628064243448</v>
      </c>
    </row>
    <row r="18" spans="2:10" ht="15.6" customHeight="1" thickBot="1" x14ac:dyDescent="0.3">
      <c r="C18" s="1389" t="s">
        <v>690</v>
      </c>
      <c r="D18" s="1390">
        <v>3000</v>
      </c>
      <c r="E18" s="1390">
        <v>3000</v>
      </c>
      <c r="F18" s="1390">
        <v>3000</v>
      </c>
      <c r="G18" s="1390">
        <v>3000</v>
      </c>
    </row>
    <row r="19" spans="2:10" ht="15.75" thickBot="1" x14ac:dyDescent="0.3">
      <c r="C19" s="1386" t="s">
        <v>672</v>
      </c>
      <c r="D19" s="1387">
        <v>120</v>
      </c>
      <c r="E19" s="1387">
        <v>120</v>
      </c>
      <c r="F19" s="1387">
        <v>120</v>
      </c>
      <c r="G19" s="1387">
        <v>120</v>
      </c>
    </row>
    <row r="20" spans="2:10" ht="15.75" thickBot="1" x14ac:dyDescent="0.3">
      <c r="C20" s="1391" t="s">
        <v>622</v>
      </c>
      <c r="D20" s="1387">
        <v>300</v>
      </c>
      <c r="E20" s="1387">
        <v>300</v>
      </c>
      <c r="F20" s="1387">
        <v>300</v>
      </c>
      <c r="G20" s="1387">
        <v>300</v>
      </c>
    </row>
    <row r="21" spans="2:10" ht="15.75" thickBot="1" x14ac:dyDescent="0.3">
      <c r="C21" s="1391" t="s">
        <v>671</v>
      </c>
      <c r="D21" s="1387">
        <v>200</v>
      </c>
      <c r="E21" s="1387">
        <v>200</v>
      </c>
      <c r="F21" s="1387">
        <v>200</v>
      </c>
      <c r="G21" s="1387">
        <v>200</v>
      </c>
    </row>
    <row r="22" spans="2:10" ht="15.75" thickBot="1" x14ac:dyDescent="0.3">
      <c r="C22" s="1386" t="s">
        <v>689</v>
      </c>
      <c r="D22" s="1388">
        <f>6000/D23</f>
        <v>0.25359256128486896</v>
      </c>
      <c r="E22" s="1388">
        <f>6000/E23</f>
        <v>0.25359256128486896</v>
      </c>
      <c r="F22" s="1388">
        <f>6000/F23</f>
        <v>0.25359256128486896</v>
      </c>
      <c r="G22" s="1388">
        <f>6000/G23</f>
        <v>0.25359256128486896</v>
      </c>
    </row>
    <row r="23" spans="2:10" ht="15.75" thickBot="1" x14ac:dyDescent="0.3">
      <c r="C23" s="1391" t="s">
        <v>631</v>
      </c>
      <c r="D23" s="1387">
        <v>23660</v>
      </c>
      <c r="E23" s="1387">
        <v>23660</v>
      </c>
      <c r="F23" s="1387">
        <v>23660</v>
      </c>
      <c r="G23" s="1387">
        <v>23660</v>
      </c>
    </row>
    <row r="24" spans="2:10" x14ac:dyDescent="0.25">
      <c r="C24" s="1392" t="s">
        <v>688</v>
      </c>
      <c r="D24" s="1393">
        <v>0.57784925106794294</v>
      </c>
      <c r="E24" s="1393">
        <v>0.56136406302715336</v>
      </c>
      <c r="F24" s="1394">
        <v>0.56088912798943613</v>
      </c>
      <c r="G24" s="1394">
        <v>0.55682097702563094</v>
      </c>
    </row>
    <row r="25" spans="2:10" x14ac:dyDescent="0.25">
      <c r="C25" s="1392" t="s">
        <v>687</v>
      </c>
      <c r="D25" s="1395">
        <v>1.3439498239948798E-2</v>
      </c>
      <c r="E25" s="1395">
        <v>1.2572706884133944E-2</v>
      </c>
      <c r="F25" s="1396">
        <v>1.2246266509127973E-2</v>
      </c>
      <c r="G25" s="1396">
        <v>1.1316553552788921E-2</v>
      </c>
    </row>
    <row r="26" spans="2:10" ht="15.75" thickBot="1" x14ac:dyDescent="0.3">
      <c r="C26" s="1392" t="s">
        <v>686</v>
      </c>
      <c r="D26" s="1395">
        <v>4.4610561109222263E-2</v>
      </c>
      <c r="E26" s="1395">
        <v>4.2138613407584374E-2</v>
      </c>
      <c r="F26" s="1396">
        <v>4.1721690476970032E-2</v>
      </c>
      <c r="G26" s="1396">
        <v>3.9580987417732673E-2</v>
      </c>
    </row>
    <row r="27" spans="2:10" ht="57.6" customHeight="1" thickBot="1" x14ac:dyDescent="0.3">
      <c r="B27" s="716" t="s">
        <v>685</v>
      </c>
      <c r="C27" s="649" t="s">
        <v>12</v>
      </c>
      <c r="D27" s="2339" t="s">
        <v>1028</v>
      </c>
      <c r="E27" s="2340"/>
      <c r="F27" s="2340"/>
      <c r="G27" s="2341"/>
    </row>
    <row r="28" spans="2:10" ht="16.899999999999999" customHeight="1" x14ac:dyDescent="0.25">
      <c r="C28" s="2344" t="s">
        <v>120</v>
      </c>
      <c r="D28" s="2345"/>
      <c r="E28" s="2345"/>
      <c r="F28" s="2345"/>
      <c r="G28" s="2345"/>
      <c r="J28" s="684"/>
    </row>
    <row r="29" spans="2:10" ht="21" customHeight="1" thickBot="1" x14ac:dyDescent="0.3">
      <c r="C29" s="1384" t="s">
        <v>683</v>
      </c>
      <c r="D29" s="1385">
        <f>D30/D31</f>
        <v>0.75737266668536118</v>
      </c>
      <c r="E29" s="1385">
        <f>E30/E31</f>
        <v>0.78859044266851308</v>
      </c>
      <c r="F29" s="1385">
        <f>F30/F31</f>
        <v>0.82192052127585835</v>
      </c>
      <c r="G29" s="1385">
        <f>G30/G31</f>
        <v>0.84863057292666422</v>
      </c>
    </row>
    <row r="30" spans="2:10" ht="21" customHeight="1" thickBot="1" x14ac:dyDescent="0.3">
      <c r="C30" s="1386" t="s">
        <v>682</v>
      </c>
      <c r="D30" s="1387">
        <v>81026</v>
      </c>
      <c r="E30" s="1387">
        <v>82000</v>
      </c>
      <c r="F30" s="1387">
        <v>83000</v>
      </c>
      <c r="G30" s="1387">
        <v>84000</v>
      </c>
    </row>
    <row r="31" spans="2:10" ht="17.45" customHeight="1" thickBot="1" x14ac:dyDescent="0.3">
      <c r="C31" s="1386" t="s">
        <v>681</v>
      </c>
      <c r="D31" s="1387">
        <v>106983</v>
      </c>
      <c r="E31" s="1387">
        <v>103983</v>
      </c>
      <c r="F31" s="1387">
        <v>100983</v>
      </c>
      <c r="G31" s="1387">
        <v>98983</v>
      </c>
    </row>
    <row r="32" spans="2:10" ht="15" customHeight="1" thickBot="1" x14ac:dyDescent="0.3">
      <c r="C32" s="2346" t="s">
        <v>66</v>
      </c>
      <c r="D32" s="2347"/>
      <c r="E32" s="2347"/>
      <c r="F32" s="2347"/>
      <c r="G32" s="2348"/>
    </row>
    <row r="33" spans="3:11" ht="15" customHeight="1" thickBot="1" x14ac:dyDescent="0.3">
      <c r="C33" s="2146" t="s">
        <v>121</v>
      </c>
      <c r="D33" s="2147"/>
      <c r="E33" s="2147"/>
      <c r="F33" s="2147"/>
      <c r="G33" s="2148"/>
    </row>
    <row r="34" spans="3:11" ht="31.9" customHeight="1" thickBot="1" x14ac:dyDescent="0.3">
      <c r="C34" s="665" t="s">
        <v>680</v>
      </c>
      <c r="D34" s="2331" t="s">
        <v>679</v>
      </c>
      <c r="E34" s="2332"/>
      <c r="F34" s="2332"/>
      <c r="G34" s="2333"/>
    </row>
    <row r="35" spans="3:11" ht="40.15" customHeight="1" thickBot="1" x14ac:dyDescent="0.3">
      <c r="C35" s="663" t="s">
        <v>10</v>
      </c>
      <c r="D35" s="2331" t="s">
        <v>678</v>
      </c>
      <c r="E35" s="2332"/>
      <c r="F35" s="2332"/>
      <c r="G35" s="2333"/>
    </row>
    <row r="36" spans="3:11" ht="15.75" thickBot="1" x14ac:dyDescent="0.3">
      <c r="C36" s="663" t="s">
        <v>13</v>
      </c>
      <c r="D36" s="2334" t="s">
        <v>677</v>
      </c>
      <c r="E36" s="2335"/>
      <c r="F36" s="2335"/>
      <c r="G36" s="2336"/>
    </row>
    <row r="37" spans="3:11" ht="12.75" customHeight="1" x14ac:dyDescent="0.25">
      <c r="C37" s="2337"/>
      <c r="D37" s="657">
        <v>2018</v>
      </c>
      <c r="E37" s="657">
        <v>2019</v>
      </c>
      <c r="F37" s="657">
        <v>2020</v>
      </c>
      <c r="G37" s="657">
        <v>2021</v>
      </c>
    </row>
    <row r="38" spans="3:11" ht="18.600000000000001" customHeight="1" thickBot="1" x14ac:dyDescent="0.3">
      <c r="C38" s="2338"/>
      <c r="D38" s="656" t="s">
        <v>6</v>
      </c>
      <c r="E38" s="656" t="s">
        <v>7</v>
      </c>
      <c r="F38" s="656" t="s">
        <v>7</v>
      </c>
      <c r="G38" s="656" t="s">
        <v>7</v>
      </c>
    </row>
    <row r="39" spans="3:11" ht="15.75" thickBot="1" x14ac:dyDescent="0.3">
      <c r="C39" s="663" t="s">
        <v>9</v>
      </c>
      <c r="D39" s="689">
        <v>81026</v>
      </c>
      <c r="E39" s="689">
        <v>82000</v>
      </c>
      <c r="F39" s="689">
        <v>83000</v>
      </c>
      <c r="G39" s="689">
        <v>84000</v>
      </c>
    </row>
    <row r="40" spans="3:11" ht="15.75" thickBot="1" x14ac:dyDescent="0.3">
      <c r="C40" s="663" t="s">
        <v>14</v>
      </c>
      <c r="D40" s="689">
        <v>28000</v>
      </c>
      <c r="E40" s="689">
        <v>28437.599999999999</v>
      </c>
      <c r="F40" s="689">
        <v>29360.088</v>
      </c>
      <c r="G40" s="689">
        <v>30308.100479999997</v>
      </c>
    </row>
    <row r="41" spans="3:11" ht="15.75" thickBot="1" x14ac:dyDescent="0.3">
      <c r="C41" s="663" t="s">
        <v>23</v>
      </c>
      <c r="D41" s="709">
        <f>D40/D39</f>
        <v>0.34556808925530075</v>
      </c>
      <c r="E41" s="709">
        <f t="shared" ref="E41:G41" si="0">E40/E39</f>
        <v>0.3468</v>
      </c>
      <c r="F41" s="709">
        <f t="shared" si="0"/>
        <v>0.35373599999999999</v>
      </c>
      <c r="G41" s="709">
        <f t="shared" si="0"/>
        <v>0.36081071999999997</v>
      </c>
    </row>
    <row r="42" spans="3:11" ht="15.75" thickBot="1" x14ac:dyDescent="0.3">
      <c r="C42" s="663" t="s">
        <v>15</v>
      </c>
      <c r="D42" s="708"/>
      <c r="E42" s="707">
        <f t="shared" ref="E42:G44" si="1">E39/D39-1</f>
        <v>1.2020832819095162E-2</v>
      </c>
      <c r="F42" s="707">
        <f t="shared" si="1"/>
        <v>1.2195121951219523E-2</v>
      </c>
      <c r="G42" s="707">
        <f t="shared" si="1"/>
        <v>1.2048192771084265E-2</v>
      </c>
      <c r="I42" s="652"/>
      <c r="J42" s="652"/>
      <c r="K42" s="652"/>
    </row>
    <row r="43" spans="3:11" ht="15.75" thickBot="1" x14ac:dyDescent="0.3">
      <c r="C43" s="663" t="s">
        <v>16</v>
      </c>
      <c r="D43" s="708"/>
      <c r="E43" s="707">
        <f t="shared" si="1"/>
        <v>1.5628571428571325E-2</v>
      </c>
      <c r="F43" s="707">
        <f t="shared" si="1"/>
        <v>3.2439024390243931E-2</v>
      </c>
      <c r="G43" s="707">
        <f t="shared" si="1"/>
        <v>3.2289156626505999E-2</v>
      </c>
    </row>
    <row r="44" spans="3:11" ht="15.75" thickBot="1" x14ac:dyDescent="0.3">
      <c r="C44" s="663" t="s">
        <v>17</v>
      </c>
      <c r="D44" s="708"/>
      <c r="E44" s="707">
        <f t="shared" si="1"/>
        <v>3.5648857142858148E-3</v>
      </c>
      <c r="F44" s="707">
        <f t="shared" si="1"/>
        <v>2.0000000000000018E-2</v>
      </c>
      <c r="G44" s="707">
        <f t="shared" si="1"/>
        <v>2.0000000000000018E-2</v>
      </c>
    </row>
    <row r="45" spans="3:11" ht="25.15" customHeight="1" thickBot="1" x14ac:dyDescent="0.3">
      <c r="C45" s="660" t="s">
        <v>69</v>
      </c>
      <c r="D45" s="659"/>
      <c r="E45" s="659"/>
      <c r="F45" s="659"/>
      <c r="G45" s="658"/>
    </row>
    <row r="46" spans="3:11" ht="12.75" customHeight="1" x14ac:dyDescent="0.25">
      <c r="C46" s="1146"/>
      <c r="D46" s="657">
        <v>2018</v>
      </c>
      <c r="E46" s="657">
        <v>2019</v>
      </c>
      <c r="F46" s="657">
        <v>2020</v>
      </c>
      <c r="G46" s="657">
        <v>2021</v>
      </c>
    </row>
    <row r="47" spans="3:11" ht="9" customHeight="1" thickBot="1" x14ac:dyDescent="0.3">
      <c r="C47" s="1147"/>
      <c r="D47" s="656" t="s">
        <v>6</v>
      </c>
      <c r="E47" s="656" t="s">
        <v>7</v>
      </c>
      <c r="F47" s="656" t="s">
        <v>7</v>
      </c>
      <c r="G47" s="656" t="s">
        <v>7</v>
      </c>
    </row>
    <row r="48" spans="3:11" ht="15.75" thickBot="1" x14ac:dyDescent="0.3">
      <c r="C48" s="641" t="s">
        <v>0</v>
      </c>
      <c r="D48" s="655">
        <v>0</v>
      </c>
      <c r="E48" s="655"/>
      <c r="F48" s="655"/>
      <c r="G48" s="655"/>
    </row>
    <row r="49" spans="2:10" ht="15.75" thickBot="1" x14ac:dyDescent="0.3">
      <c r="C49" s="641" t="s">
        <v>49</v>
      </c>
      <c r="D49" s="655">
        <v>0</v>
      </c>
      <c r="E49" s="655"/>
      <c r="F49" s="655"/>
      <c r="G49" s="655"/>
    </row>
    <row r="50" spans="2:10" ht="15.75" thickBot="1" x14ac:dyDescent="0.3">
      <c r="C50" s="641" t="s">
        <v>1</v>
      </c>
      <c r="D50" s="689">
        <f>D40</f>
        <v>28000</v>
      </c>
      <c r="E50" s="689">
        <f>E40</f>
        <v>28437.599999999999</v>
      </c>
      <c r="F50" s="689">
        <f>F40</f>
        <v>29360.088</v>
      </c>
      <c r="G50" s="689">
        <f>G40</f>
        <v>30308.100479999997</v>
      </c>
    </row>
    <row r="51" spans="2:10" ht="15.75" thickBot="1" x14ac:dyDescent="0.3">
      <c r="C51" s="641" t="s">
        <v>2</v>
      </c>
      <c r="D51" s="639">
        <v>0</v>
      </c>
      <c r="E51" s="655"/>
      <c r="F51" s="655"/>
      <c r="G51" s="655"/>
    </row>
    <row r="52" spans="2:10" ht="15.75" thickBot="1" x14ac:dyDescent="0.3">
      <c r="C52" s="641" t="s">
        <v>28</v>
      </c>
      <c r="D52" s="639">
        <v>0</v>
      </c>
      <c r="E52" s="655"/>
      <c r="F52" s="655"/>
      <c r="G52" s="655"/>
    </row>
    <row r="53" spans="2:10" ht="15.75" thickBot="1" x14ac:dyDescent="0.3">
      <c r="C53" s="641" t="s">
        <v>30</v>
      </c>
      <c r="D53" s="639">
        <v>0</v>
      </c>
      <c r="E53" s="655"/>
      <c r="F53" s="655"/>
      <c r="G53" s="655"/>
    </row>
    <row r="54" spans="2:10" ht="15.75" thickBot="1" x14ac:dyDescent="0.3">
      <c r="C54" s="641" t="s">
        <v>3</v>
      </c>
      <c r="D54" s="677"/>
      <c r="E54" s="677"/>
      <c r="F54" s="677"/>
      <c r="G54" s="677"/>
    </row>
    <row r="55" spans="2:10" x14ac:dyDescent="0.25">
      <c r="C55" s="674" t="s">
        <v>68</v>
      </c>
      <c r="D55" s="689">
        <f>SUM(D48:D54)</f>
        <v>28000</v>
      </c>
      <c r="E55" s="689">
        <f t="shared" ref="E55:G55" si="2">SUM(E48:E54)</f>
        <v>28437.599999999999</v>
      </c>
      <c r="F55" s="689">
        <f t="shared" si="2"/>
        <v>29360.088</v>
      </c>
      <c r="G55" s="689">
        <f t="shared" si="2"/>
        <v>30308.100479999997</v>
      </c>
    </row>
    <row r="56" spans="2:10" ht="15.75" thickBot="1" x14ac:dyDescent="0.3">
      <c r="C56" s="638" t="s">
        <v>70</v>
      </c>
      <c r="D56" s="637">
        <f>D55-D40</f>
        <v>0</v>
      </c>
      <c r="E56" s="637">
        <f t="shared" ref="E56:G56" si="3">E55-E40</f>
        <v>0</v>
      </c>
      <c r="F56" s="637">
        <f t="shared" si="3"/>
        <v>0</v>
      </c>
      <c r="G56" s="637">
        <f t="shared" si="3"/>
        <v>0</v>
      </c>
    </row>
    <row r="57" spans="2:10" ht="64.150000000000006" customHeight="1" thickBot="1" x14ac:dyDescent="0.3">
      <c r="B57" s="617" t="s">
        <v>676</v>
      </c>
      <c r="C57" s="649" t="s">
        <v>22</v>
      </c>
      <c r="D57" s="2339" t="s">
        <v>667</v>
      </c>
      <c r="E57" s="2340"/>
      <c r="F57" s="2340"/>
      <c r="G57" s="2341"/>
    </row>
    <row r="58" spans="2:10" ht="23.25" customHeight="1" thickBot="1" x14ac:dyDescent="0.3">
      <c r="C58" s="2349" t="s">
        <v>495</v>
      </c>
      <c r="D58" s="2350"/>
      <c r="E58" s="2350"/>
      <c r="F58" s="2350"/>
      <c r="G58" s="2351"/>
      <c r="J58" s="684"/>
    </row>
    <row r="59" spans="2:10" ht="23.25" customHeight="1" thickBot="1" x14ac:dyDescent="0.3">
      <c r="C59" s="695" t="s">
        <v>675</v>
      </c>
      <c r="D59" s="715">
        <v>100</v>
      </c>
      <c r="E59" s="715">
        <v>100</v>
      </c>
      <c r="F59" s="715">
        <v>100</v>
      </c>
      <c r="G59" s="715">
        <v>100</v>
      </c>
      <c r="J59" s="684"/>
    </row>
    <row r="60" spans="2:10" ht="16.899999999999999" customHeight="1" thickBot="1" x14ac:dyDescent="0.3">
      <c r="C60" s="712" t="s">
        <v>674</v>
      </c>
      <c r="D60" s="695">
        <f>D61/D65</f>
        <v>0.50718512256973791</v>
      </c>
      <c r="E60" s="695">
        <f>E61/E65</f>
        <v>0.50718512256973791</v>
      </c>
      <c r="F60" s="695">
        <f>F61/F65</f>
        <v>0.50718512256973791</v>
      </c>
      <c r="G60" s="695">
        <f>G61/G65</f>
        <v>0.50718512256973791</v>
      </c>
    </row>
    <row r="61" spans="2:10" ht="15.75" thickBot="1" x14ac:dyDescent="0.3">
      <c r="C61" s="714" t="s">
        <v>673</v>
      </c>
      <c r="D61" s="713">
        <v>12000</v>
      </c>
      <c r="E61" s="713">
        <v>12000</v>
      </c>
      <c r="F61" s="713">
        <v>12000</v>
      </c>
      <c r="G61" s="713">
        <v>12000</v>
      </c>
    </row>
    <row r="62" spans="2:10" ht="15.75" thickBot="1" x14ac:dyDescent="0.3">
      <c r="C62" s="712" t="s">
        <v>672</v>
      </c>
      <c r="D62" s="706">
        <v>120</v>
      </c>
      <c r="E62" s="706">
        <v>120</v>
      </c>
      <c r="F62" s="706">
        <v>120</v>
      </c>
      <c r="G62" s="706">
        <v>120</v>
      </c>
    </row>
    <row r="63" spans="2:10" ht="15.75" thickBot="1" x14ac:dyDescent="0.3">
      <c r="C63" s="711" t="s">
        <v>622</v>
      </c>
      <c r="D63" s="706">
        <v>300</v>
      </c>
      <c r="E63" s="706">
        <v>300</v>
      </c>
      <c r="F63" s="706">
        <v>300</v>
      </c>
      <c r="G63" s="706">
        <v>300</v>
      </c>
    </row>
    <row r="64" spans="2:10" ht="15.75" thickBot="1" x14ac:dyDescent="0.3">
      <c r="C64" s="711" t="s">
        <v>671</v>
      </c>
      <c r="D64" s="706">
        <v>200</v>
      </c>
      <c r="E64" s="706">
        <v>200</v>
      </c>
      <c r="F64" s="706">
        <v>200</v>
      </c>
      <c r="G64" s="706">
        <v>200</v>
      </c>
    </row>
    <row r="65" spans="3:11" ht="15.75" thickBot="1" x14ac:dyDescent="0.3">
      <c r="C65" s="711" t="s">
        <v>631</v>
      </c>
      <c r="D65" s="706">
        <v>23660</v>
      </c>
      <c r="E65" s="706">
        <v>23660</v>
      </c>
      <c r="F65" s="706">
        <v>23660</v>
      </c>
      <c r="G65" s="706">
        <v>23660</v>
      </c>
    </row>
    <row r="66" spans="3:11" ht="15.75" thickBot="1" x14ac:dyDescent="0.3">
      <c r="C66" s="711" t="s">
        <v>670</v>
      </c>
      <c r="D66" s="710">
        <v>80</v>
      </c>
      <c r="E66" s="710">
        <v>80</v>
      </c>
      <c r="F66" s="710">
        <v>80</v>
      </c>
      <c r="G66" s="710">
        <v>80</v>
      </c>
    </row>
    <row r="67" spans="3:11" ht="15" customHeight="1" thickBot="1" x14ac:dyDescent="0.3">
      <c r="C67" s="2346" t="s">
        <v>67</v>
      </c>
      <c r="D67" s="2347"/>
      <c r="E67" s="2347"/>
      <c r="F67" s="2347"/>
      <c r="G67" s="2348"/>
    </row>
    <row r="68" spans="3:11" ht="15" customHeight="1" thickBot="1" x14ac:dyDescent="0.3">
      <c r="C68" s="2146" t="s">
        <v>121</v>
      </c>
      <c r="D68" s="2147"/>
      <c r="E68" s="2147"/>
      <c r="F68" s="2147"/>
      <c r="G68" s="2148"/>
    </row>
    <row r="69" spans="3:11" ht="37.15" customHeight="1" thickBot="1" x14ac:dyDescent="0.3">
      <c r="C69" s="665" t="s">
        <v>669</v>
      </c>
      <c r="D69" s="2331" t="s">
        <v>1032</v>
      </c>
      <c r="E69" s="2332"/>
      <c r="F69" s="2332"/>
      <c r="G69" s="2333"/>
    </row>
    <row r="70" spans="3:11" ht="55.9" customHeight="1" thickBot="1" x14ac:dyDescent="0.3">
      <c r="C70" s="663" t="s">
        <v>10</v>
      </c>
      <c r="D70" s="2331" t="s">
        <v>667</v>
      </c>
      <c r="E70" s="2332"/>
      <c r="F70" s="2332"/>
      <c r="G70" s="2333"/>
    </row>
    <row r="71" spans="3:11" ht="15.75" thickBot="1" x14ac:dyDescent="0.3">
      <c r="C71" s="663" t="s">
        <v>13</v>
      </c>
      <c r="D71" s="2334" t="s">
        <v>615</v>
      </c>
      <c r="E71" s="2335"/>
      <c r="F71" s="2335"/>
      <c r="G71" s="2336"/>
    </row>
    <row r="72" spans="3:11" ht="12.75" customHeight="1" x14ac:dyDescent="0.25">
      <c r="C72" s="2337"/>
      <c r="D72" s="657">
        <v>2018</v>
      </c>
      <c r="E72" s="657">
        <v>2019</v>
      </c>
      <c r="F72" s="657">
        <v>2020</v>
      </c>
      <c r="G72" s="657">
        <v>2021</v>
      </c>
    </row>
    <row r="73" spans="3:11" ht="9" customHeight="1" thickBot="1" x14ac:dyDescent="0.3">
      <c r="C73" s="2338"/>
      <c r="D73" s="656" t="s">
        <v>6</v>
      </c>
      <c r="E73" s="656" t="s">
        <v>7</v>
      </c>
      <c r="F73" s="656" t="s">
        <v>7</v>
      </c>
      <c r="G73" s="656" t="s">
        <v>7</v>
      </c>
    </row>
    <row r="74" spans="3:11" ht="15.75" thickBot="1" x14ac:dyDescent="0.3">
      <c r="C74" s="663" t="s">
        <v>9</v>
      </c>
      <c r="D74" s="689">
        <v>12000</v>
      </c>
      <c r="E74" s="689">
        <v>12000</v>
      </c>
      <c r="F74" s="689">
        <v>12000</v>
      </c>
      <c r="G74" s="689">
        <v>12000</v>
      </c>
    </row>
    <row r="75" spans="3:11" ht="15.75" thickBot="1" x14ac:dyDescent="0.3">
      <c r="C75" s="663" t="s">
        <v>14</v>
      </c>
      <c r="D75" s="689">
        <v>24000</v>
      </c>
      <c r="E75" s="689">
        <v>26000</v>
      </c>
      <c r="F75" s="689">
        <v>28000</v>
      </c>
      <c r="G75" s="689">
        <v>30000</v>
      </c>
    </row>
    <row r="76" spans="3:11" ht="15.75" thickBot="1" x14ac:dyDescent="0.3">
      <c r="C76" s="663" t="s">
        <v>23</v>
      </c>
      <c r="D76" s="709">
        <f>D75/D74</f>
        <v>2</v>
      </c>
      <c r="E76" s="709">
        <f t="shared" ref="E76:G76" si="4">E75/E74</f>
        <v>2.1666666666666665</v>
      </c>
      <c r="F76" s="709">
        <f t="shared" si="4"/>
        <v>2.3333333333333335</v>
      </c>
      <c r="G76" s="709">
        <f t="shared" si="4"/>
        <v>2.5</v>
      </c>
    </row>
    <row r="77" spans="3:11" ht="15.75" thickBot="1" x14ac:dyDescent="0.3">
      <c r="C77" s="663" t="s">
        <v>15</v>
      </c>
      <c r="D77" s="708"/>
      <c r="E77" s="707">
        <f t="shared" ref="E77:G79" si="5">E74/D74-1</f>
        <v>0</v>
      </c>
      <c r="F77" s="707">
        <f t="shared" si="5"/>
        <v>0</v>
      </c>
      <c r="G77" s="707">
        <f t="shared" si="5"/>
        <v>0</v>
      </c>
      <c r="I77" s="652"/>
      <c r="J77" s="652"/>
      <c r="K77" s="652"/>
    </row>
    <row r="78" spans="3:11" ht="15.75" thickBot="1" x14ac:dyDescent="0.3">
      <c r="C78" s="663" t="s">
        <v>16</v>
      </c>
      <c r="D78" s="708"/>
      <c r="E78" s="707">
        <f t="shared" si="5"/>
        <v>8.3333333333333259E-2</v>
      </c>
      <c r="F78" s="707">
        <f t="shared" si="5"/>
        <v>7.6923076923076872E-2</v>
      </c>
      <c r="G78" s="707">
        <f t="shared" si="5"/>
        <v>7.1428571428571397E-2</v>
      </c>
    </row>
    <row r="79" spans="3:11" ht="15.75" thickBot="1" x14ac:dyDescent="0.3">
      <c r="C79" s="663" t="s">
        <v>17</v>
      </c>
      <c r="D79" s="708"/>
      <c r="E79" s="707">
        <f t="shared" si="5"/>
        <v>8.3333333333333259E-2</v>
      </c>
      <c r="F79" s="707">
        <f t="shared" si="5"/>
        <v>7.6923076923077094E-2</v>
      </c>
      <c r="G79" s="707">
        <f t="shared" si="5"/>
        <v>7.1428571428571397E-2</v>
      </c>
    </row>
    <row r="80" spans="3:11" ht="15.75" customHeight="1" thickBot="1" x14ac:dyDescent="0.3">
      <c r="C80" s="660" t="s">
        <v>69</v>
      </c>
      <c r="D80" s="659"/>
      <c r="E80" s="659"/>
      <c r="F80" s="659"/>
      <c r="G80" s="658"/>
    </row>
    <row r="81" spans="3:7" ht="12.75" customHeight="1" x14ac:dyDescent="0.25">
      <c r="C81" s="1146"/>
      <c r="D81" s="657">
        <v>2018</v>
      </c>
      <c r="E81" s="657">
        <v>2019</v>
      </c>
      <c r="F81" s="657">
        <v>2020</v>
      </c>
      <c r="G81" s="657">
        <v>2021</v>
      </c>
    </row>
    <row r="82" spans="3:7" ht="17.45" customHeight="1" thickBot="1" x14ac:dyDescent="0.3">
      <c r="C82" s="1147"/>
      <c r="D82" s="656" t="s">
        <v>6</v>
      </c>
      <c r="E82" s="656" t="s">
        <v>7</v>
      </c>
      <c r="F82" s="656" t="s">
        <v>7</v>
      </c>
      <c r="G82" s="656" t="s">
        <v>7</v>
      </c>
    </row>
    <row r="83" spans="3:7" ht="15.75" thickBot="1" x14ac:dyDescent="0.3">
      <c r="C83" s="641" t="s">
        <v>0</v>
      </c>
      <c r="D83" s="655">
        <v>0</v>
      </c>
      <c r="E83" s="655"/>
      <c r="F83" s="655"/>
      <c r="G83" s="655"/>
    </row>
    <row r="84" spans="3:7" ht="15.75" thickBot="1" x14ac:dyDescent="0.3">
      <c r="C84" s="641" t="s">
        <v>49</v>
      </c>
      <c r="D84" s="655">
        <v>0</v>
      </c>
      <c r="E84" s="655"/>
      <c r="F84" s="655"/>
      <c r="G84" s="655"/>
    </row>
    <row r="85" spans="3:7" ht="15.75" thickBot="1" x14ac:dyDescent="0.3">
      <c r="C85" s="641" t="s">
        <v>1</v>
      </c>
      <c r="D85" s="689">
        <f>D75</f>
        <v>24000</v>
      </c>
      <c r="E85" s="689">
        <f t="shared" ref="E85:G85" si="6">E75</f>
        <v>26000</v>
      </c>
      <c r="F85" s="689">
        <f t="shared" si="6"/>
        <v>28000</v>
      </c>
      <c r="G85" s="689">
        <f t="shared" si="6"/>
        <v>30000</v>
      </c>
    </row>
    <row r="86" spans="3:7" ht="15.75" thickBot="1" x14ac:dyDescent="0.3">
      <c r="C86" s="641" t="s">
        <v>2</v>
      </c>
      <c r="D86" s="639">
        <v>0</v>
      </c>
      <c r="E86" s="655"/>
      <c r="F86" s="655"/>
      <c r="G86" s="655"/>
    </row>
    <row r="87" spans="3:7" ht="15.75" thickBot="1" x14ac:dyDescent="0.3">
      <c r="C87" s="641" t="s">
        <v>28</v>
      </c>
      <c r="D87" s="639">
        <v>0</v>
      </c>
      <c r="E87" s="655"/>
      <c r="F87" s="655"/>
      <c r="G87" s="655"/>
    </row>
    <row r="88" spans="3:7" ht="15.75" thickBot="1" x14ac:dyDescent="0.3">
      <c r="C88" s="641" t="s">
        <v>30</v>
      </c>
      <c r="D88" s="639">
        <v>0</v>
      </c>
      <c r="E88" s="655"/>
      <c r="F88" s="655"/>
      <c r="G88" s="655"/>
    </row>
    <row r="89" spans="3:7" ht="15.75" thickBot="1" x14ac:dyDescent="0.3">
      <c r="C89" s="641" t="s">
        <v>3</v>
      </c>
      <c r="D89" s="677"/>
      <c r="E89" s="677"/>
      <c r="F89" s="677"/>
      <c r="G89" s="677"/>
    </row>
    <row r="90" spans="3:7" x14ac:dyDescent="0.25">
      <c r="C90" s="674" t="s">
        <v>68</v>
      </c>
      <c r="D90" s="689">
        <f>SUM(D83:D89)</f>
        <v>24000</v>
      </c>
      <c r="E90" s="689">
        <f t="shared" ref="E90:G90" si="7">SUM(E83:E89)</f>
        <v>26000</v>
      </c>
      <c r="F90" s="689">
        <f t="shared" si="7"/>
        <v>28000</v>
      </c>
      <c r="G90" s="689">
        <f t="shared" si="7"/>
        <v>30000</v>
      </c>
    </row>
    <row r="91" spans="3:7" ht="15.75" thickBot="1" x14ac:dyDescent="0.3">
      <c r="C91" s="638" t="s">
        <v>70</v>
      </c>
      <c r="D91" s="637">
        <f>D90-D75</f>
        <v>0</v>
      </c>
      <c r="E91" s="637">
        <f t="shared" ref="E91:G91" si="8">E90-E75</f>
        <v>0</v>
      </c>
      <c r="F91" s="637">
        <f t="shared" si="8"/>
        <v>0</v>
      </c>
      <c r="G91" s="637">
        <f t="shared" si="8"/>
        <v>0</v>
      </c>
    </row>
    <row r="92" spans="3:7" ht="24.6" customHeight="1" thickBot="1" x14ac:dyDescent="0.3">
      <c r="C92" s="665" t="s">
        <v>666</v>
      </c>
      <c r="D92" s="2331" t="s">
        <v>665</v>
      </c>
      <c r="E92" s="2332"/>
      <c r="F92" s="2332"/>
      <c r="G92" s="2333"/>
    </row>
    <row r="93" spans="3:7" ht="28.9" customHeight="1" thickBot="1" x14ac:dyDescent="0.3">
      <c r="C93" s="663" t="s">
        <v>10</v>
      </c>
      <c r="D93" s="2331" t="s">
        <v>665</v>
      </c>
      <c r="E93" s="2332"/>
      <c r="F93" s="2332"/>
      <c r="G93" s="2333"/>
    </row>
    <row r="94" spans="3:7" ht="15.75" thickBot="1" x14ac:dyDescent="0.3">
      <c r="C94" s="663" t="s">
        <v>13</v>
      </c>
      <c r="D94" s="2334" t="s">
        <v>664</v>
      </c>
      <c r="E94" s="2335"/>
      <c r="F94" s="2335"/>
      <c r="G94" s="2336"/>
    </row>
    <row r="95" spans="3:7" ht="12.75" customHeight="1" x14ac:dyDescent="0.25">
      <c r="C95" s="2337"/>
      <c r="D95" s="657">
        <v>2018</v>
      </c>
      <c r="E95" s="657">
        <v>2019</v>
      </c>
      <c r="F95" s="657">
        <v>2020</v>
      </c>
      <c r="G95" s="657">
        <v>2021</v>
      </c>
    </row>
    <row r="96" spans="3:7" ht="9" customHeight="1" thickBot="1" x14ac:dyDescent="0.3">
      <c r="C96" s="2338"/>
      <c r="D96" s="656" t="s">
        <v>6</v>
      </c>
      <c r="E96" s="656" t="s">
        <v>7</v>
      </c>
      <c r="F96" s="656" t="s">
        <v>7</v>
      </c>
      <c r="G96" s="656" t="s">
        <v>7</v>
      </c>
    </row>
    <row r="97" spans="3:11" ht="15.75" thickBot="1" x14ac:dyDescent="0.3">
      <c r="C97" s="663" t="s">
        <v>9</v>
      </c>
      <c r="D97" s="706">
        <v>48</v>
      </c>
      <c r="E97" s="706">
        <v>48</v>
      </c>
      <c r="F97" s="706">
        <v>48</v>
      </c>
      <c r="G97" s="706">
        <v>48</v>
      </c>
    </row>
    <row r="98" spans="3:11" ht="15.75" thickBot="1" x14ac:dyDescent="0.3">
      <c r="C98" s="663" t="s">
        <v>14</v>
      </c>
      <c r="D98" s="689">
        <v>51094</v>
      </c>
      <c r="E98" s="689">
        <v>52100</v>
      </c>
      <c r="F98" s="689">
        <v>53000</v>
      </c>
      <c r="G98" s="689">
        <v>53800</v>
      </c>
    </row>
    <row r="99" spans="3:11" ht="15.75" thickBot="1" x14ac:dyDescent="0.3">
      <c r="C99" s="663" t="s">
        <v>23</v>
      </c>
      <c r="D99" s="689">
        <f>D98/D97</f>
        <v>1064.4583333333333</v>
      </c>
      <c r="E99" s="689">
        <f t="shared" ref="E99:G99" si="9">E98/E97</f>
        <v>1085.4166666666667</v>
      </c>
      <c r="F99" s="689">
        <f t="shared" si="9"/>
        <v>1104.1666666666667</v>
      </c>
      <c r="G99" s="689">
        <f t="shared" si="9"/>
        <v>1120.8333333333333</v>
      </c>
    </row>
    <row r="100" spans="3:11" ht="15.75" thickBot="1" x14ac:dyDescent="0.3">
      <c r="C100" s="663" t="s">
        <v>15</v>
      </c>
      <c r="D100" s="662"/>
      <c r="E100" s="679">
        <f t="shared" ref="E100:G102" si="10">E97/D97-1</f>
        <v>0</v>
      </c>
      <c r="F100" s="679">
        <f t="shared" si="10"/>
        <v>0</v>
      </c>
      <c r="G100" s="679">
        <f t="shared" si="10"/>
        <v>0</v>
      </c>
      <c r="I100" s="652"/>
      <c r="J100" s="652"/>
      <c r="K100" s="652"/>
    </row>
    <row r="101" spans="3:11" ht="15.75" thickBot="1" x14ac:dyDescent="0.3">
      <c r="C101" s="663" t="s">
        <v>16</v>
      </c>
      <c r="D101" s="662"/>
      <c r="E101" s="678">
        <f t="shared" si="10"/>
        <v>1.9689200297490883E-2</v>
      </c>
      <c r="F101" s="678">
        <f t="shared" si="10"/>
        <v>1.7274472168905985E-2</v>
      </c>
      <c r="G101" s="678">
        <f t="shared" si="10"/>
        <v>1.5094339622641506E-2</v>
      </c>
    </row>
    <row r="102" spans="3:11" ht="15.75" thickBot="1" x14ac:dyDescent="0.3">
      <c r="C102" s="663" t="s">
        <v>17</v>
      </c>
      <c r="D102" s="662"/>
      <c r="E102" s="678">
        <f t="shared" si="10"/>
        <v>1.9689200297491105E-2</v>
      </c>
      <c r="F102" s="678">
        <f t="shared" si="10"/>
        <v>1.7274472168905985E-2</v>
      </c>
      <c r="G102" s="678">
        <f t="shared" si="10"/>
        <v>1.5094339622641284E-2</v>
      </c>
    </row>
    <row r="103" spans="3:11" ht="25.9" customHeight="1" thickBot="1" x14ac:dyDescent="0.3">
      <c r="C103" s="660" t="s">
        <v>642</v>
      </c>
      <c r="D103" s="659"/>
      <c r="E103" s="659"/>
      <c r="F103" s="659"/>
      <c r="G103" s="658"/>
    </row>
    <row r="104" spans="3:11" ht="12.75" customHeight="1" x14ac:dyDescent="0.25">
      <c r="C104" s="1146"/>
      <c r="D104" s="657">
        <v>2018</v>
      </c>
      <c r="E104" s="657">
        <v>2019</v>
      </c>
      <c r="F104" s="657">
        <v>2020</v>
      </c>
      <c r="G104" s="657">
        <v>2021</v>
      </c>
    </row>
    <row r="105" spans="3:11" ht="17.45" customHeight="1" thickBot="1" x14ac:dyDescent="0.3">
      <c r="C105" s="1147"/>
      <c r="D105" s="656" t="s">
        <v>663</v>
      </c>
      <c r="E105" s="656" t="s">
        <v>7</v>
      </c>
      <c r="F105" s="656" t="s">
        <v>7</v>
      </c>
      <c r="G105" s="656" t="s">
        <v>7</v>
      </c>
    </row>
    <row r="106" spans="3:11" ht="15.75" thickBot="1" x14ac:dyDescent="0.25">
      <c r="C106" s="641" t="s">
        <v>0</v>
      </c>
      <c r="D106" s="692">
        <v>28480</v>
      </c>
      <c r="E106" s="692">
        <v>28480</v>
      </c>
      <c r="F106" s="692">
        <v>28480</v>
      </c>
      <c r="G106" s="692">
        <v>28480</v>
      </c>
    </row>
    <row r="107" spans="3:11" ht="15.75" thickBot="1" x14ac:dyDescent="0.25">
      <c r="C107" s="641" t="s">
        <v>49</v>
      </c>
      <c r="D107" s="692">
        <v>4614</v>
      </c>
      <c r="E107" s="692">
        <v>4614</v>
      </c>
      <c r="F107" s="692">
        <v>4614</v>
      </c>
      <c r="G107" s="692">
        <v>4614</v>
      </c>
    </row>
    <row r="108" spans="3:11" ht="15.75" thickBot="1" x14ac:dyDescent="0.25">
      <c r="C108" s="641" t="s">
        <v>1</v>
      </c>
      <c r="D108" s="692">
        <v>18000</v>
      </c>
      <c r="E108" s="692">
        <v>19006</v>
      </c>
      <c r="F108" s="692">
        <v>19906</v>
      </c>
      <c r="G108" s="692">
        <v>20706</v>
      </c>
    </row>
    <row r="109" spans="3:11" ht="15.75" thickBot="1" x14ac:dyDescent="0.3">
      <c r="C109" s="641" t="s">
        <v>2</v>
      </c>
      <c r="D109" s="639">
        <v>0</v>
      </c>
      <c r="E109" s="639">
        <v>0</v>
      </c>
      <c r="F109" s="639">
        <v>0</v>
      </c>
      <c r="G109" s="639">
        <v>0</v>
      </c>
    </row>
    <row r="110" spans="3:11" ht="15.75" thickBot="1" x14ac:dyDescent="0.3">
      <c r="C110" s="641" t="s">
        <v>28</v>
      </c>
      <c r="D110" s="639">
        <v>0</v>
      </c>
      <c r="E110" s="639">
        <v>0</v>
      </c>
      <c r="F110" s="639">
        <v>0</v>
      </c>
      <c r="G110" s="639">
        <v>0</v>
      </c>
    </row>
    <row r="111" spans="3:11" ht="15.75" thickBot="1" x14ac:dyDescent="0.3">
      <c r="C111" s="641" t="s">
        <v>30</v>
      </c>
      <c r="D111" s="639">
        <v>0</v>
      </c>
      <c r="E111" s="639">
        <v>0</v>
      </c>
      <c r="F111" s="639">
        <v>0</v>
      </c>
      <c r="G111" s="639">
        <v>0</v>
      </c>
    </row>
    <row r="112" spans="3:11" ht="15.75" thickBot="1" x14ac:dyDescent="0.3">
      <c r="C112" s="641" t="s">
        <v>3</v>
      </c>
      <c r="D112" s="677">
        <v>0</v>
      </c>
      <c r="E112" s="677">
        <v>0</v>
      </c>
      <c r="F112" s="677">
        <v>0</v>
      </c>
      <c r="G112" s="677">
        <v>0</v>
      </c>
    </row>
    <row r="113" spans="3:10" x14ac:dyDescent="0.25">
      <c r="C113" s="674" t="s">
        <v>641</v>
      </c>
      <c r="D113" s="689">
        <f>SUM(D106:D112)</f>
        <v>51094</v>
      </c>
      <c r="E113" s="689">
        <f t="shared" ref="E113:G113" si="11">SUM(E106:E112)</f>
        <v>52100</v>
      </c>
      <c r="F113" s="689">
        <f t="shared" si="11"/>
        <v>53000</v>
      </c>
      <c r="G113" s="689">
        <f t="shared" si="11"/>
        <v>53800</v>
      </c>
    </row>
    <row r="114" spans="3:10" ht="15.75" thickBot="1" x14ac:dyDescent="0.3">
      <c r="C114" s="638" t="s">
        <v>70</v>
      </c>
      <c r="D114" s="637">
        <f>D113-D98</f>
        <v>0</v>
      </c>
      <c r="E114" s="637">
        <f t="shared" ref="E114:G114" si="12">E113-E98</f>
        <v>0</v>
      </c>
      <c r="F114" s="637">
        <f t="shared" si="12"/>
        <v>0</v>
      </c>
      <c r="G114" s="637">
        <f t="shared" si="12"/>
        <v>0</v>
      </c>
    </row>
    <row r="115" spans="3:10" ht="103.9" customHeight="1" thickBot="1" x14ac:dyDescent="0.3">
      <c r="C115" s="649" t="s">
        <v>497</v>
      </c>
      <c r="D115" s="2339" t="s">
        <v>662</v>
      </c>
      <c r="E115" s="2340"/>
      <c r="F115" s="2340"/>
      <c r="G115" s="2341"/>
    </row>
    <row r="116" spans="3:10" ht="15" customHeight="1" thickBot="1" x14ac:dyDescent="0.3">
      <c r="C116" s="2349" t="s">
        <v>506</v>
      </c>
      <c r="D116" s="2350"/>
      <c r="E116" s="2350"/>
      <c r="F116" s="2350"/>
      <c r="G116" s="2351"/>
      <c r="J116" s="684"/>
    </row>
    <row r="117" spans="3:10" ht="14.45" customHeight="1" thickBot="1" x14ac:dyDescent="0.3">
      <c r="C117" s="704" t="s">
        <v>661</v>
      </c>
      <c r="D117" s="705">
        <f>D118/D119</f>
        <v>0.64029979510406554</v>
      </c>
      <c r="E117" s="705">
        <f>E118/E119</f>
        <v>0.6490489724529952</v>
      </c>
      <c r="F117" s="705">
        <f>F118/F119</f>
        <v>0.68574753407957445</v>
      </c>
      <c r="G117" s="705">
        <f>G118/G119</f>
        <v>0.79020566419420091</v>
      </c>
    </row>
    <row r="118" spans="3:10" ht="20.45" customHeight="1" thickBot="1" x14ac:dyDescent="0.3">
      <c r="C118" s="704" t="s">
        <v>660</v>
      </c>
      <c r="D118" s="691">
        <v>190000</v>
      </c>
      <c r="E118" s="691">
        <v>190000</v>
      </c>
      <c r="F118" s="691">
        <v>198000</v>
      </c>
      <c r="G118" s="691">
        <v>225000</v>
      </c>
    </row>
    <row r="119" spans="3:10" ht="20.45" customHeight="1" thickBot="1" x14ac:dyDescent="0.3">
      <c r="C119" s="704" t="s">
        <v>632</v>
      </c>
      <c r="D119" s="691">
        <v>296736</v>
      </c>
      <c r="E119" s="691">
        <f>D119-4000</f>
        <v>292736</v>
      </c>
      <c r="F119" s="691">
        <f>E119-4000</f>
        <v>288736</v>
      </c>
      <c r="G119" s="691">
        <f>F119-4000</f>
        <v>284736</v>
      </c>
    </row>
    <row r="120" spans="3:10" ht="15" customHeight="1" thickBot="1" x14ac:dyDescent="0.3">
      <c r="C120" s="2346" t="s">
        <v>536</v>
      </c>
      <c r="D120" s="2347"/>
      <c r="E120" s="2347"/>
      <c r="F120" s="2347"/>
      <c r="G120" s="2348"/>
    </row>
    <row r="121" spans="3:10" ht="15" customHeight="1" thickBot="1" x14ac:dyDescent="0.3">
      <c r="C121" s="2146" t="s">
        <v>121</v>
      </c>
      <c r="D121" s="2147"/>
      <c r="E121" s="2147"/>
      <c r="F121" s="2147"/>
      <c r="G121" s="2148"/>
    </row>
    <row r="122" spans="3:10" ht="45" customHeight="1" thickBot="1" x14ac:dyDescent="0.3">
      <c r="C122" s="665" t="s">
        <v>659</v>
      </c>
      <c r="D122" s="2331" t="s">
        <v>1029</v>
      </c>
      <c r="E122" s="2332"/>
      <c r="F122" s="2332"/>
      <c r="G122" s="2333"/>
    </row>
    <row r="123" spans="3:10" ht="42.6" customHeight="1" thickBot="1" x14ac:dyDescent="0.3">
      <c r="C123" s="663" t="s">
        <v>10</v>
      </c>
      <c r="D123" s="2331" t="s">
        <v>1030</v>
      </c>
      <c r="E123" s="2332"/>
      <c r="F123" s="2332"/>
      <c r="G123" s="2333"/>
    </row>
    <row r="124" spans="3:10" ht="16.149999999999999" customHeight="1" thickBot="1" x14ac:dyDescent="0.3">
      <c r="C124" s="663" t="s">
        <v>13</v>
      </c>
      <c r="D124" s="2334" t="s">
        <v>656</v>
      </c>
      <c r="E124" s="2335"/>
      <c r="F124" s="2335"/>
      <c r="G124" s="2336"/>
    </row>
    <row r="125" spans="3:10" ht="15" customHeight="1" x14ac:dyDescent="0.25">
      <c r="C125" s="2337"/>
      <c r="D125" s="657">
        <v>2018</v>
      </c>
      <c r="E125" s="657">
        <v>2019</v>
      </c>
      <c r="F125" s="657">
        <v>2020</v>
      </c>
      <c r="G125" s="657">
        <v>2021</v>
      </c>
    </row>
    <row r="126" spans="3:10" ht="15" customHeight="1" thickBot="1" x14ac:dyDescent="0.3">
      <c r="C126" s="2338"/>
      <c r="D126" s="656" t="s">
        <v>6</v>
      </c>
      <c r="E126" s="656" t="s">
        <v>7</v>
      </c>
      <c r="F126" s="656" t="s">
        <v>7</v>
      </c>
      <c r="G126" s="656" t="s">
        <v>7</v>
      </c>
    </row>
    <row r="127" spans="3:10" ht="15" customHeight="1" thickBot="1" x14ac:dyDescent="0.25">
      <c r="C127" s="663" t="s">
        <v>9</v>
      </c>
      <c r="D127" s="692">
        <v>190000</v>
      </c>
      <c r="E127" s="692">
        <v>190000</v>
      </c>
      <c r="F127" s="692">
        <v>198000</v>
      </c>
      <c r="G127" s="692">
        <v>225000</v>
      </c>
    </row>
    <row r="128" spans="3:10" ht="15" customHeight="1" thickBot="1" x14ac:dyDescent="0.25">
      <c r="C128" s="663" t="s">
        <v>14</v>
      </c>
      <c r="D128" s="692">
        <v>545000</v>
      </c>
      <c r="E128" s="692">
        <v>585000</v>
      </c>
      <c r="F128" s="692">
        <v>615000</v>
      </c>
      <c r="G128" s="692">
        <v>705000</v>
      </c>
    </row>
    <row r="129" spans="3:11" ht="15" customHeight="1" thickBot="1" x14ac:dyDescent="0.25">
      <c r="C129" s="663" t="s">
        <v>23</v>
      </c>
      <c r="D129" s="703">
        <f>D128/D127</f>
        <v>2.8684210526315788</v>
      </c>
      <c r="E129" s="703">
        <f t="shared" ref="E129:G129" si="13">E128/E127</f>
        <v>3.0789473684210527</v>
      </c>
      <c r="F129" s="703">
        <f t="shared" si="13"/>
        <v>3.106060606060606</v>
      </c>
      <c r="G129" s="703">
        <f t="shared" si="13"/>
        <v>3.1333333333333333</v>
      </c>
    </row>
    <row r="130" spans="3:11" ht="15" customHeight="1" thickBot="1" x14ac:dyDescent="0.3">
      <c r="C130" s="663" t="s">
        <v>15</v>
      </c>
      <c r="D130" s="702"/>
      <c r="E130" s="701">
        <f t="shared" ref="E130:G132" si="14">E127/D127-1</f>
        <v>0</v>
      </c>
      <c r="F130" s="701">
        <f t="shared" si="14"/>
        <v>4.2105263157894646E-2</v>
      </c>
      <c r="G130" s="701">
        <f t="shared" si="14"/>
        <v>0.13636363636363646</v>
      </c>
      <c r="I130" s="652"/>
      <c r="J130" s="652"/>
      <c r="K130" s="652"/>
    </row>
    <row r="131" spans="3:11" ht="15" customHeight="1" thickBot="1" x14ac:dyDescent="0.3">
      <c r="C131" s="663" t="s">
        <v>16</v>
      </c>
      <c r="D131" s="702"/>
      <c r="E131" s="701">
        <f t="shared" si="14"/>
        <v>7.3394495412844041E-2</v>
      </c>
      <c r="F131" s="701">
        <f t="shared" si="14"/>
        <v>5.1282051282051322E-2</v>
      </c>
      <c r="G131" s="701">
        <f t="shared" si="14"/>
        <v>0.14634146341463405</v>
      </c>
    </row>
    <row r="132" spans="3:11" ht="15" customHeight="1" thickBot="1" x14ac:dyDescent="0.3">
      <c r="C132" s="663" t="s">
        <v>17</v>
      </c>
      <c r="D132" s="702"/>
      <c r="E132" s="701">
        <f t="shared" si="14"/>
        <v>7.3394495412844041E-2</v>
      </c>
      <c r="F132" s="701">
        <f t="shared" si="14"/>
        <v>8.8060088060086805E-3</v>
      </c>
      <c r="G132" s="701">
        <f t="shared" si="14"/>
        <v>8.7804878048780566E-3</v>
      </c>
    </row>
    <row r="133" spans="3:11" ht="15" customHeight="1" thickBot="1" x14ac:dyDescent="0.3">
      <c r="C133" s="2352" t="s">
        <v>69</v>
      </c>
      <c r="D133" s="2353"/>
      <c r="E133" s="2353"/>
      <c r="F133" s="2353"/>
      <c r="G133" s="2354"/>
    </row>
    <row r="134" spans="3:11" ht="15" customHeight="1" x14ac:dyDescent="0.25">
      <c r="C134" s="2337"/>
      <c r="D134" s="657">
        <v>2018</v>
      </c>
      <c r="E134" s="657">
        <v>2019</v>
      </c>
      <c r="F134" s="657">
        <v>2020</v>
      </c>
      <c r="G134" s="657">
        <v>2021</v>
      </c>
    </row>
    <row r="135" spans="3:11" ht="15" customHeight="1" thickBot="1" x14ac:dyDescent="0.3">
      <c r="C135" s="2338"/>
      <c r="D135" s="656" t="s">
        <v>6</v>
      </c>
      <c r="E135" s="656" t="s">
        <v>7</v>
      </c>
      <c r="F135" s="656" t="s">
        <v>7</v>
      </c>
      <c r="G135" s="656" t="s">
        <v>7</v>
      </c>
    </row>
    <row r="136" spans="3:11" ht="15" customHeight="1" thickBot="1" x14ac:dyDescent="0.3">
      <c r="C136" s="641" t="s">
        <v>0</v>
      </c>
      <c r="D136" s="655">
        <v>0</v>
      </c>
      <c r="E136" s="655">
        <v>0</v>
      </c>
      <c r="F136" s="655">
        <v>0</v>
      </c>
      <c r="G136" s="655">
        <v>0</v>
      </c>
    </row>
    <row r="137" spans="3:11" ht="15.75" thickBot="1" x14ac:dyDescent="0.3">
      <c r="C137" s="641" t="s">
        <v>49</v>
      </c>
      <c r="D137" s="655">
        <v>0</v>
      </c>
      <c r="E137" s="655">
        <v>0</v>
      </c>
      <c r="F137" s="655">
        <v>0</v>
      </c>
      <c r="G137" s="655">
        <v>0</v>
      </c>
    </row>
    <row r="138" spans="3:11" ht="15.75" thickBot="1" x14ac:dyDescent="0.3">
      <c r="C138" s="641" t="s">
        <v>1</v>
      </c>
      <c r="D138" s="639">
        <v>0</v>
      </c>
      <c r="E138" s="639">
        <v>0</v>
      </c>
      <c r="F138" s="639">
        <v>0</v>
      </c>
      <c r="G138" s="639">
        <v>0</v>
      </c>
    </row>
    <row r="139" spans="3:11" ht="15.75" thickBot="1" x14ac:dyDescent="0.3">
      <c r="C139" s="641" t="s">
        <v>2</v>
      </c>
      <c r="D139" s="639">
        <v>0</v>
      </c>
      <c r="E139" s="639">
        <v>0</v>
      </c>
      <c r="F139" s="639">
        <v>0</v>
      </c>
      <c r="G139" s="639">
        <v>0</v>
      </c>
    </row>
    <row r="140" spans="3:11" ht="15.75" thickBot="1" x14ac:dyDescent="0.3">
      <c r="C140" s="641" t="s">
        <v>28</v>
      </c>
      <c r="D140" s="639">
        <v>0</v>
      </c>
      <c r="E140" s="639">
        <v>0</v>
      </c>
      <c r="F140" s="639">
        <v>0</v>
      </c>
      <c r="G140" s="639">
        <v>0</v>
      </c>
    </row>
    <row r="141" spans="3:11" ht="15.75" thickBot="1" x14ac:dyDescent="0.3">
      <c r="C141" s="641" t="s">
        <v>30</v>
      </c>
      <c r="D141" s="639">
        <v>0</v>
      </c>
      <c r="E141" s="639">
        <v>0</v>
      </c>
      <c r="F141" s="639">
        <v>0</v>
      </c>
      <c r="G141" s="639">
        <v>0</v>
      </c>
    </row>
    <row r="142" spans="3:11" ht="15.75" thickBot="1" x14ac:dyDescent="0.25">
      <c r="C142" s="641" t="s">
        <v>3</v>
      </c>
      <c r="D142" s="692">
        <f>D128</f>
        <v>545000</v>
      </c>
      <c r="E142" s="692">
        <f>E128</f>
        <v>585000</v>
      </c>
      <c r="F142" s="692">
        <f>F128</f>
        <v>615000</v>
      </c>
      <c r="G142" s="692">
        <f>G128</f>
        <v>705000</v>
      </c>
    </row>
    <row r="143" spans="3:11" x14ac:dyDescent="0.2">
      <c r="C143" s="674" t="s">
        <v>655</v>
      </c>
      <c r="D143" s="692">
        <f>D142+D141+D140+D139+D138+D137+D136</f>
        <v>545000</v>
      </c>
      <c r="E143" s="692">
        <f>E142+E141+E140+E139+E138+E137+E136</f>
        <v>585000</v>
      </c>
      <c r="F143" s="692">
        <f>F142+F141+F140+F139+F138+F137+F136</f>
        <v>615000</v>
      </c>
      <c r="G143" s="692">
        <f>G142+G141+G140+G139+G138+G137+G136</f>
        <v>705000</v>
      </c>
    </row>
    <row r="144" spans="3:11" ht="15.75" thickBot="1" x14ac:dyDescent="0.3">
      <c r="C144" s="638" t="s">
        <v>70</v>
      </c>
      <c r="D144" s="637">
        <f>D143-D128</f>
        <v>0</v>
      </c>
      <c r="E144" s="637">
        <f t="shared" ref="E144:G144" si="15">E143-E128</f>
        <v>0</v>
      </c>
      <c r="F144" s="637">
        <f t="shared" si="15"/>
        <v>0</v>
      </c>
      <c r="G144" s="637">
        <f t="shared" si="15"/>
        <v>0</v>
      </c>
    </row>
    <row r="145" spans="3:10" ht="46.9" customHeight="1" thickBot="1" x14ac:dyDescent="0.3">
      <c r="C145" s="649" t="s">
        <v>512</v>
      </c>
      <c r="D145" s="2339" t="s">
        <v>1031</v>
      </c>
      <c r="E145" s="2340"/>
      <c r="F145" s="2340"/>
      <c r="G145" s="2341"/>
    </row>
    <row r="146" spans="3:10" ht="15" customHeight="1" thickBot="1" x14ac:dyDescent="0.3">
      <c r="C146" s="2355" t="s">
        <v>537</v>
      </c>
      <c r="D146" s="2356"/>
      <c r="E146" s="2356"/>
      <c r="F146" s="2356"/>
      <c r="G146" s="2357"/>
      <c r="J146" s="684"/>
    </row>
    <row r="147" spans="3:10" x14ac:dyDescent="0.2">
      <c r="C147" s="699" t="s">
        <v>653</v>
      </c>
      <c r="D147" s="692">
        <v>11110</v>
      </c>
      <c r="E147" s="692">
        <v>12000</v>
      </c>
      <c r="F147" s="692">
        <v>13000</v>
      </c>
      <c r="G147" s="692">
        <v>14000</v>
      </c>
    </row>
    <row r="148" spans="3:10" x14ac:dyDescent="0.2">
      <c r="C148" s="699" t="s">
        <v>652</v>
      </c>
      <c r="D148" s="692">
        <v>3797</v>
      </c>
      <c r="E148" s="692">
        <v>4000</v>
      </c>
      <c r="F148" s="692">
        <v>4200</v>
      </c>
      <c r="G148" s="692">
        <v>4500</v>
      </c>
    </row>
    <row r="149" spans="3:10" x14ac:dyDescent="0.2">
      <c r="C149" s="699" t="s">
        <v>651</v>
      </c>
      <c r="D149" s="692">
        <v>500</v>
      </c>
      <c r="E149" s="692">
        <v>550</v>
      </c>
      <c r="F149" s="692">
        <v>600</v>
      </c>
      <c r="G149" s="692">
        <v>650</v>
      </c>
    </row>
    <row r="150" spans="3:10" x14ac:dyDescent="0.2">
      <c r="C150" s="699" t="s">
        <v>650</v>
      </c>
      <c r="D150" s="700">
        <v>0.3</v>
      </c>
      <c r="E150" s="700">
        <v>0.1</v>
      </c>
      <c r="F150" s="700">
        <v>0.1</v>
      </c>
      <c r="G150" s="700">
        <v>0.1</v>
      </c>
    </row>
    <row r="151" spans="3:10" x14ac:dyDescent="0.2">
      <c r="C151" s="699" t="s">
        <v>649</v>
      </c>
      <c r="D151" s="699">
        <v>600</v>
      </c>
      <c r="E151" s="699">
        <v>660</v>
      </c>
      <c r="F151" s="699">
        <v>720</v>
      </c>
      <c r="G151" s="699">
        <v>780</v>
      </c>
    </row>
    <row r="152" spans="3:10" ht="15.75" thickBot="1" x14ac:dyDescent="0.25">
      <c r="C152" s="699" t="s">
        <v>631</v>
      </c>
      <c r="D152" s="699">
        <v>23660</v>
      </c>
      <c r="E152" s="699">
        <v>23660</v>
      </c>
      <c r="F152" s="699">
        <v>23660</v>
      </c>
      <c r="G152" s="699">
        <v>23660</v>
      </c>
    </row>
    <row r="153" spans="3:10" ht="15" customHeight="1" thickBot="1" x14ac:dyDescent="0.3">
      <c r="C153" s="2346" t="s">
        <v>66</v>
      </c>
      <c r="D153" s="2347"/>
      <c r="E153" s="2347"/>
      <c r="F153" s="2347"/>
      <c r="G153" s="2348"/>
    </row>
    <row r="154" spans="3:10" ht="15" customHeight="1" thickBot="1" x14ac:dyDescent="0.3">
      <c r="C154" s="2146" t="s">
        <v>121</v>
      </c>
      <c r="D154" s="2147"/>
      <c r="E154" s="2147"/>
      <c r="F154" s="2147"/>
      <c r="G154" s="2148"/>
    </row>
    <row r="155" spans="3:10" ht="25.15" customHeight="1" thickBot="1" x14ac:dyDescent="0.3">
      <c r="C155" s="665" t="s">
        <v>648</v>
      </c>
      <c r="D155" s="2331" t="s">
        <v>647</v>
      </c>
      <c r="E155" s="2332"/>
      <c r="F155" s="2332"/>
      <c r="G155" s="2333"/>
    </row>
    <row r="156" spans="3:10" ht="23.45" customHeight="1" thickBot="1" x14ac:dyDescent="0.3">
      <c r="C156" s="663" t="s">
        <v>10</v>
      </c>
      <c r="D156" s="2331" t="s">
        <v>647</v>
      </c>
      <c r="E156" s="2332"/>
      <c r="F156" s="2332"/>
      <c r="G156" s="2333"/>
    </row>
    <row r="157" spans="3:10" ht="15.75" thickBot="1" x14ac:dyDescent="0.3">
      <c r="C157" s="663" t="s">
        <v>13</v>
      </c>
      <c r="D157" s="2334" t="s">
        <v>646</v>
      </c>
      <c r="E157" s="2335"/>
      <c r="F157" s="2335"/>
      <c r="G157" s="2336"/>
    </row>
    <row r="158" spans="3:10" ht="12.75" customHeight="1" x14ac:dyDescent="0.25">
      <c r="C158" s="2337"/>
      <c r="D158" s="657">
        <v>2018</v>
      </c>
      <c r="E158" s="657">
        <v>2019</v>
      </c>
      <c r="F158" s="657">
        <v>2020</v>
      </c>
      <c r="G158" s="657">
        <v>2021</v>
      </c>
    </row>
    <row r="159" spans="3:10" ht="12.6" customHeight="1" thickBot="1" x14ac:dyDescent="0.3">
      <c r="C159" s="2338"/>
      <c r="D159" s="656" t="s">
        <v>6</v>
      </c>
      <c r="E159" s="656" t="s">
        <v>7</v>
      </c>
      <c r="F159" s="656" t="s">
        <v>7</v>
      </c>
      <c r="G159" s="656" t="s">
        <v>7</v>
      </c>
    </row>
    <row r="160" spans="3:10" ht="15.75" thickBot="1" x14ac:dyDescent="0.25">
      <c r="C160" s="663" t="s">
        <v>9</v>
      </c>
      <c r="D160" s="692">
        <v>297000</v>
      </c>
      <c r="E160" s="692">
        <v>295000</v>
      </c>
      <c r="F160" s="692">
        <v>293000</v>
      </c>
      <c r="G160" s="692">
        <v>290000</v>
      </c>
    </row>
    <row r="161" spans="3:13" ht="15.75" thickBot="1" x14ac:dyDescent="0.25">
      <c r="C161" s="663" t="s">
        <v>14</v>
      </c>
      <c r="D161" s="692">
        <v>19122877</v>
      </c>
      <c r="E161" s="692">
        <v>21770800</v>
      </c>
      <c r="F161" s="692">
        <v>24594086</v>
      </c>
      <c r="G161" s="692">
        <v>27470242</v>
      </c>
      <c r="H161" s="652"/>
      <c r="I161" s="652"/>
      <c r="J161" s="652"/>
      <c r="K161" s="652"/>
    </row>
    <row r="162" spans="3:13" ht="15.75" thickBot="1" x14ac:dyDescent="0.25">
      <c r="C162" s="663" t="s">
        <v>23</v>
      </c>
      <c r="D162" s="698">
        <v>62.52</v>
      </c>
      <c r="E162" s="698">
        <f>D162+D162*2%</f>
        <v>63.770400000000002</v>
      </c>
      <c r="F162" s="698">
        <f>E162+E162*2%</f>
        <v>65.045808000000008</v>
      </c>
      <c r="G162" s="698">
        <f>F162+F162*2%</f>
        <v>66.346724160000008</v>
      </c>
    </row>
    <row r="163" spans="3:13" ht="15.75" thickBot="1" x14ac:dyDescent="0.3">
      <c r="C163" s="663" t="s">
        <v>15</v>
      </c>
      <c r="D163" s="662"/>
      <c r="E163" s="679">
        <f t="shared" ref="E163:G165" si="16">E160/D160-1</f>
        <v>-6.7340067340067034E-3</v>
      </c>
      <c r="F163" s="679">
        <f t="shared" si="16"/>
        <v>-6.7796610169491567E-3</v>
      </c>
      <c r="G163" s="679">
        <f t="shared" si="16"/>
        <v>-1.0238907849829393E-2</v>
      </c>
      <c r="I163" s="652"/>
      <c r="J163" s="652"/>
      <c r="K163" s="652"/>
    </row>
    <row r="164" spans="3:13" ht="15.75" thickBot="1" x14ac:dyDescent="0.3">
      <c r="C164" s="663" t="s">
        <v>16</v>
      </c>
      <c r="D164" s="662"/>
      <c r="E164" s="679">
        <f t="shared" si="16"/>
        <v>0.1384688611446907</v>
      </c>
      <c r="F164" s="679">
        <f t="shared" si="16"/>
        <v>0.12968223492016828</v>
      </c>
      <c r="G164" s="679">
        <f t="shared" si="16"/>
        <v>0.11694502491371295</v>
      </c>
    </row>
    <row r="165" spans="3:13" ht="15.75" thickBot="1" x14ac:dyDescent="0.3">
      <c r="C165" s="663" t="s">
        <v>17</v>
      </c>
      <c r="D165" s="662"/>
      <c r="E165" s="679">
        <f t="shared" si="16"/>
        <v>2.0000000000000018E-2</v>
      </c>
      <c r="F165" s="679">
        <f t="shared" si="16"/>
        <v>2.0000000000000018E-2</v>
      </c>
      <c r="G165" s="679">
        <f t="shared" si="16"/>
        <v>2.0000000000000018E-2</v>
      </c>
    </row>
    <row r="166" spans="3:13" ht="26.45" customHeight="1" thickBot="1" x14ac:dyDescent="0.3">
      <c r="C166" s="660" t="s">
        <v>69</v>
      </c>
      <c r="D166" s="659"/>
      <c r="E166" s="659"/>
      <c r="F166" s="659"/>
      <c r="G166" s="658"/>
    </row>
    <row r="167" spans="3:13" ht="12.75" customHeight="1" x14ac:dyDescent="0.25">
      <c r="C167" s="1146"/>
      <c r="D167" s="657">
        <v>2018</v>
      </c>
      <c r="E167" s="657">
        <v>2019</v>
      </c>
      <c r="F167" s="657">
        <v>2020</v>
      </c>
      <c r="G167" s="657">
        <v>2021</v>
      </c>
    </row>
    <row r="168" spans="3:13" ht="15.6" customHeight="1" thickBot="1" x14ac:dyDescent="0.3">
      <c r="C168" s="1147"/>
      <c r="D168" s="656" t="s">
        <v>6</v>
      </c>
      <c r="E168" s="656" t="s">
        <v>7</v>
      </c>
      <c r="F168" s="656" t="s">
        <v>7</v>
      </c>
      <c r="G168" s="656" t="s">
        <v>7</v>
      </c>
      <c r="H168" s="1425">
        <f>SUM(H169:H171)</f>
        <v>21770800.360000003</v>
      </c>
      <c r="I168" s="1425">
        <f>SUM(I169:I171)</f>
        <v>24594087.478399999</v>
      </c>
      <c r="J168" s="1425">
        <f>SUM(J169:J171)</f>
        <v>27470244.107392006</v>
      </c>
      <c r="K168" s="1424">
        <f>ROUND(H168, 0)</f>
        <v>21770800</v>
      </c>
      <c r="L168" s="1424">
        <f>ROUND(I168, 0)</f>
        <v>24594087</v>
      </c>
      <c r="M168" s="1424">
        <f>ROUND(J168, 0)</f>
        <v>27470244</v>
      </c>
    </row>
    <row r="169" spans="3:13" ht="15.75" thickBot="1" x14ac:dyDescent="0.25">
      <c r="C169" s="641" t="s">
        <v>0</v>
      </c>
      <c r="D169" s="692">
        <f>16462726-50000</f>
        <v>16412726</v>
      </c>
      <c r="E169" s="692">
        <v>18393453</v>
      </c>
      <c r="F169" s="692">
        <v>20600667</v>
      </c>
      <c r="G169" s="692">
        <v>23072748</v>
      </c>
      <c r="H169" s="1425">
        <v>18393453.120000001</v>
      </c>
      <c r="I169" s="1425">
        <v>20600667.494400002</v>
      </c>
      <c r="J169" s="1425">
        <v>23072747.593728006</v>
      </c>
      <c r="K169" s="1424">
        <f t="shared" ref="K169:K171" si="17">ROUND(H169, 0)</f>
        <v>18393453</v>
      </c>
      <c r="L169" s="1424">
        <f t="shared" ref="L169:M171" si="18">ROUND(I169, 0)</f>
        <v>20600667</v>
      </c>
      <c r="M169" s="1424">
        <f t="shared" si="18"/>
        <v>23072748</v>
      </c>
    </row>
    <row r="170" spans="3:13" ht="15.75" thickBot="1" x14ac:dyDescent="0.25">
      <c r="C170" s="641" t="s">
        <v>49</v>
      </c>
      <c r="D170" s="692">
        <f>2666960-21709</f>
        <v>2645251</v>
      </c>
      <c r="E170" s="692">
        <v>2973326</v>
      </c>
      <c r="F170" s="692">
        <v>3330125</v>
      </c>
      <c r="G170" s="692">
        <v>3729740</v>
      </c>
      <c r="H170" s="1425">
        <v>2973325.6</v>
      </c>
      <c r="I170" s="1425">
        <v>3330124.6720000003</v>
      </c>
      <c r="J170" s="1425">
        <v>3729739.6326400004</v>
      </c>
      <c r="K170" s="1424">
        <f t="shared" si="17"/>
        <v>2973326</v>
      </c>
      <c r="L170" s="1424">
        <f t="shared" si="18"/>
        <v>3330125</v>
      </c>
      <c r="M170" s="1424">
        <f t="shared" si="18"/>
        <v>3729740</v>
      </c>
    </row>
    <row r="171" spans="3:13" ht="15.75" thickBot="1" x14ac:dyDescent="0.25">
      <c r="C171" s="641" t="s">
        <v>1</v>
      </c>
      <c r="D171" s="697">
        <v>64900</v>
      </c>
      <c r="E171" s="697">
        <v>404021</v>
      </c>
      <c r="F171" s="697">
        <v>663294</v>
      </c>
      <c r="G171" s="697">
        <v>667754</v>
      </c>
      <c r="H171" s="1425">
        <v>404021.64000000007</v>
      </c>
      <c r="I171" s="1425">
        <v>663295.31200000003</v>
      </c>
      <c r="J171" s="1425">
        <v>667756.881024</v>
      </c>
      <c r="K171" s="1424">
        <f t="shared" si="17"/>
        <v>404022</v>
      </c>
      <c r="L171" s="1424">
        <f t="shared" si="18"/>
        <v>663295</v>
      </c>
      <c r="M171" s="1424">
        <f t="shared" si="18"/>
        <v>667757</v>
      </c>
    </row>
    <row r="172" spans="3:13" ht="15.75" thickBot="1" x14ac:dyDescent="0.25">
      <c r="C172" s="641" t="s">
        <v>2</v>
      </c>
      <c r="D172" s="692">
        <v>0</v>
      </c>
      <c r="E172" s="692">
        <v>0</v>
      </c>
      <c r="F172" s="692">
        <v>0</v>
      </c>
      <c r="G172" s="692">
        <v>0</v>
      </c>
    </row>
    <row r="173" spans="3:13" ht="15.75" thickBot="1" x14ac:dyDescent="0.25">
      <c r="C173" s="641" t="s">
        <v>28</v>
      </c>
      <c r="D173" s="692">
        <v>0</v>
      </c>
      <c r="E173" s="692">
        <v>0</v>
      </c>
      <c r="F173" s="692">
        <v>0</v>
      </c>
      <c r="G173" s="692">
        <v>0</v>
      </c>
    </row>
    <row r="174" spans="3:13" ht="15.75" thickBot="1" x14ac:dyDescent="0.25">
      <c r="C174" s="641" t="s">
        <v>30</v>
      </c>
      <c r="D174" s="692">
        <v>0</v>
      </c>
      <c r="E174" s="692">
        <v>0</v>
      </c>
      <c r="F174" s="692">
        <v>0</v>
      </c>
      <c r="G174" s="692">
        <v>0</v>
      </c>
    </row>
    <row r="175" spans="3:13" ht="15.75" thickBot="1" x14ac:dyDescent="0.25">
      <c r="C175" s="641" t="s">
        <v>3</v>
      </c>
      <c r="D175" s="692"/>
      <c r="E175" s="692"/>
      <c r="F175" s="692"/>
      <c r="G175" s="692"/>
    </row>
    <row r="176" spans="3:13" x14ac:dyDescent="0.2">
      <c r="C176" s="674" t="s">
        <v>68</v>
      </c>
      <c r="D176" s="696">
        <f>SUM(D169:D175)</f>
        <v>19122877</v>
      </c>
      <c r="E176" s="696">
        <f t="shared" ref="E176:G176" si="19">SUM(E169:E175)</f>
        <v>21770800</v>
      </c>
      <c r="F176" s="696">
        <f t="shared" si="19"/>
        <v>24594086</v>
      </c>
      <c r="G176" s="696">
        <f t="shared" si="19"/>
        <v>27470242</v>
      </c>
    </row>
    <row r="177" spans="3:11" ht="15.75" thickBot="1" x14ac:dyDescent="0.3">
      <c r="C177" s="638" t="s">
        <v>70</v>
      </c>
      <c r="D177" s="637">
        <f>D176-D161</f>
        <v>0</v>
      </c>
      <c r="E177" s="637">
        <f t="shared" ref="E177:G177" si="20">E176-E161</f>
        <v>0</v>
      </c>
      <c r="F177" s="637">
        <f t="shared" si="20"/>
        <v>0</v>
      </c>
      <c r="G177" s="637">
        <f t="shared" si="20"/>
        <v>0</v>
      </c>
    </row>
    <row r="178" spans="3:11" ht="25.15" customHeight="1" thickBot="1" x14ac:dyDescent="0.3">
      <c r="C178" s="665" t="s">
        <v>645</v>
      </c>
      <c r="D178" s="2331" t="s">
        <v>644</v>
      </c>
      <c r="E178" s="2332"/>
      <c r="F178" s="2332"/>
      <c r="G178" s="2333"/>
    </row>
    <row r="179" spans="3:11" ht="27.6" customHeight="1" thickBot="1" x14ac:dyDescent="0.3">
      <c r="C179" s="663" t="s">
        <v>10</v>
      </c>
      <c r="D179" s="2358" t="s">
        <v>644</v>
      </c>
      <c r="E179" s="2359"/>
      <c r="F179" s="2359"/>
      <c r="G179" s="2360"/>
    </row>
    <row r="180" spans="3:11" ht="15.75" thickBot="1" x14ac:dyDescent="0.3">
      <c r="C180" s="663" t="s">
        <v>13</v>
      </c>
      <c r="D180" s="2334" t="s">
        <v>643</v>
      </c>
      <c r="E180" s="2335"/>
      <c r="F180" s="2335"/>
      <c r="G180" s="2336"/>
    </row>
    <row r="181" spans="3:11" ht="12.75" customHeight="1" x14ac:dyDescent="0.25">
      <c r="C181" s="2337"/>
      <c r="D181" s="657">
        <v>2018</v>
      </c>
      <c r="E181" s="657">
        <v>2019</v>
      </c>
      <c r="F181" s="657">
        <v>2020</v>
      </c>
      <c r="G181" s="657">
        <v>2021</v>
      </c>
    </row>
    <row r="182" spans="3:11" ht="9" customHeight="1" thickBot="1" x14ac:dyDescent="0.3">
      <c r="C182" s="2338"/>
      <c r="D182" s="656" t="s">
        <v>6</v>
      </c>
      <c r="E182" s="656" t="s">
        <v>7</v>
      </c>
      <c r="F182" s="656" t="s">
        <v>7</v>
      </c>
      <c r="G182" s="656" t="s">
        <v>7</v>
      </c>
    </row>
    <row r="183" spans="3:11" ht="15.75" thickBot="1" x14ac:dyDescent="0.25">
      <c r="C183" s="663" t="s">
        <v>9</v>
      </c>
      <c r="D183" s="692">
        <v>700</v>
      </c>
      <c r="E183" s="692">
        <v>700</v>
      </c>
      <c r="F183" s="692">
        <v>700</v>
      </c>
      <c r="G183" s="692">
        <v>700</v>
      </c>
    </row>
    <row r="184" spans="3:11" ht="15.75" thickBot="1" x14ac:dyDescent="0.25">
      <c r="C184" s="663" t="s">
        <v>14</v>
      </c>
      <c r="D184" s="692">
        <v>91609</v>
      </c>
      <c r="E184" s="692">
        <v>94609</v>
      </c>
      <c r="F184" s="692">
        <v>97609</v>
      </c>
      <c r="G184" s="692">
        <v>100609</v>
      </c>
    </row>
    <row r="185" spans="3:11" ht="15.75" thickBot="1" x14ac:dyDescent="0.25">
      <c r="C185" s="663" t="s">
        <v>23</v>
      </c>
      <c r="D185" s="692">
        <v>124.47</v>
      </c>
      <c r="E185" s="692">
        <f>D185+D185*2%</f>
        <v>126.9594</v>
      </c>
      <c r="F185" s="692">
        <f>E185+E185*2%</f>
        <v>129.49858800000001</v>
      </c>
      <c r="G185" s="692">
        <f>F185+F185*2%</f>
        <v>132.08855976000001</v>
      </c>
    </row>
    <row r="186" spans="3:11" ht="15.75" thickBot="1" x14ac:dyDescent="0.3">
      <c r="C186" s="663" t="s">
        <v>15</v>
      </c>
      <c r="D186" s="695"/>
      <c r="E186" s="694">
        <v>0</v>
      </c>
      <c r="F186" s="694">
        <v>0</v>
      </c>
      <c r="G186" s="694">
        <v>0</v>
      </c>
      <c r="I186" s="652"/>
      <c r="J186" s="652"/>
      <c r="K186" s="652"/>
    </row>
    <row r="187" spans="3:11" ht="15.75" thickBot="1" x14ac:dyDescent="0.3">
      <c r="C187" s="663" t="s">
        <v>16</v>
      </c>
      <c r="D187" s="688"/>
      <c r="E187" s="694">
        <f t="shared" ref="E187:G188" si="21">E184/D184-1</f>
        <v>3.2747874117171838E-2</v>
      </c>
      <c r="F187" s="694">
        <f t="shared" si="21"/>
        <v>3.1709456817004655E-2</v>
      </c>
      <c r="G187" s="694">
        <f t="shared" si="21"/>
        <v>3.0734870759868471E-2</v>
      </c>
    </row>
    <row r="188" spans="3:11" ht="15.75" thickBot="1" x14ac:dyDescent="0.3">
      <c r="C188" s="663" t="s">
        <v>17</v>
      </c>
      <c r="D188" s="688"/>
      <c r="E188" s="694">
        <f t="shared" si="21"/>
        <v>2.0000000000000018E-2</v>
      </c>
      <c r="F188" s="694">
        <f t="shared" si="21"/>
        <v>2.0000000000000018E-2</v>
      </c>
      <c r="G188" s="694">
        <f t="shared" si="21"/>
        <v>2.0000000000000018E-2</v>
      </c>
    </row>
    <row r="189" spans="3:11" ht="15.75" customHeight="1" thickBot="1" x14ac:dyDescent="0.3">
      <c r="C189" s="660" t="s">
        <v>642</v>
      </c>
      <c r="D189" s="659"/>
      <c r="E189" s="659"/>
      <c r="F189" s="659"/>
      <c r="G189" s="658"/>
    </row>
    <row r="190" spans="3:11" ht="12.75" customHeight="1" x14ac:dyDescent="0.25">
      <c r="C190" s="1146"/>
      <c r="D190" s="657">
        <v>2018</v>
      </c>
      <c r="E190" s="657">
        <v>2019</v>
      </c>
      <c r="F190" s="657">
        <v>2020</v>
      </c>
      <c r="G190" s="657">
        <v>2021</v>
      </c>
    </row>
    <row r="191" spans="3:11" ht="14.45" customHeight="1" thickBot="1" x14ac:dyDescent="0.3">
      <c r="C191" s="1147"/>
      <c r="D191" s="656" t="s">
        <v>6</v>
      </c>
      <c r="E191" s="656" t="s">
        <v>7</v>
      </c>
      <c r="F191" s="656" t="s">
        <v>7</v>
      </c>
      <c r="G191" s="656" t="s">
        <v>7</v>
      </c>
    </row>
    <row r="192" spans="3:11" ht="15.75" thickBot="1" x14ac:dyDescent="0.25">
      <c r="C192" s="641" t="s">
        <v>0</v>
      </c>
      <c r="D192" s="692">
        <v>61712</v>
      </c>
      <c r="E192" s="692">
        <v>61712</v>
      </c>
      <c r="F192" s="692">
        <v>61712</v>
      </c>
      <c r="G192" s="692">
        <v>61712</v>
      </c>
    </row>
    <row r="193" spans="2:10" ht="15.75" thickBot="1" x14ac:dyDescent="0.25">
      <c r="C193" s="641" t="s">
        <v>49</v>
      </c>
      <c r="D193" s="692">
        <v>9997</v>
      </c>
      <c r="E193" s="692">
        <v>9997</v>
      </c>
      <c r="F193" s="692">
        <v>9997</v>
      </c>
      <c r="G193" s="692">
        <v>9997</v>
      </c>
    </row>
    <row r="194" spans="2:10" ht="15.75" thickBot="1" x14ac:dyDescent="0.25">
      <c r="C194" s="641" t="s">
        <v>1</v>
      </c>
      <c r="D194" s="692">
        <v>19900</v>
      </c>
      <c r="E194" s="692">
        <v>22900</v>
      </c>
      <c r="F194" s="692">
        <v>25900</v>
      </c>
      <c r="G194" s="692">
        <v>28900</v>
      </c>
    </row>
    <row r="195" spans="2:10" ht="15.75" thickBot="1" x14ac:dyDescent="0.25">
      <c r="C195" s="641" t="s">
        <v>2</v>
      </c>
      <c r="D195" s="692">
        <v>0</v>
      </c>
      <c r="E195" s="692">
        <v>0</v>
      </c>
      <c r="F195" s="692">
        <v>0</v>
      </c>
      <c r="G195" s="692">
        <v>0</v>
      </c>
    </row>
    <row r="196" spans="2:10" ht="15.75" thickBot="1" x14ac:dyDescent="0.25">
      <c r="C196" s="641" t="s">
        <v>28</v>
      </c>
      <c r="D196" s="692">
        <v>0</v>
      </c>
      <c r="E196" s="692">
        <v>0</v>
      </c>
      <c r="F196" s="692">
        <v>0</v>
      </c>
      <c r="G196" s="692">
        <v>0</v>
      </c>
    </row>
    <row r="197" spans="2:10" ht="15.75" thickBot="1" x14ac:dyDescent="0.25">
      <c r="C197" s="641" t="s">
        <v>30</v>
      </c>
      <c r="D197" s="692">
        <v>0</v>
      </c>
      <c r="E197" s="692">
        <v>0</v>
      </c>
      <c r="F197" s="692">
        <v>0</v>
      </c>
      <c r="G197" s="692">
        <v>0</v>
      </c>
    </row>
    <row r="198" spans="2:10" ht="15.75" thickBot="1" x14ac:dyDescent="0.3">
      <c r="C198" s="641" t="s">
        <v>3</v>
      </c>
      <c r="D198" s="677"/>
      <c r="E198" s="677"/>
      <c r="F198" s="677"/>
      <c r="G198" s="677"/>
    </row>
    <row r="199" spans="2:10" x14ac:dyDescent="0.2">
      <c r="C199" s="674" t="s">
        <v>641</v>
      </c>
      <c r="D199" s="692">
        <f>SUM(D192:D198)</f>
        <v>91609</v>
      </c>
      <c r="E199" s="692">
        <f>SUM(E192:E198)</f>
        <v>94609</v>
      </c>
      <c r="F199" s="692">
        <f>SUM(F192:F198)</f>
        <v>97609</v>
      </c>
      <c r="G199" s="692">
        <f>SUM(G192:G198)</f>
        <v>100609</v>
      </c>
    </row>
    <row r="200" spans="2:10" ht="15.75" thickBot="1" x14ac:dyDescent="0.3">
      <c r="C200" s="638" t="s">
        <v>70</v>
      </c>
      <c r="D200" s="637">
        <f>D199-D184</f>
        <v>0</v>
      </c>
      <c r="E200" s="637">
        <f>E199-E184</f>
        <v>0</v>
      </c>
      <c r="F200" s="637">
        <f>F199-F184</f>
        <v>0</v>
      </c>
      <c r="G200" s="637">
        <f>G199-G184</f>
        <v>0</v>
      </c>
    </row>
    <row r="201" spans="2:10" ht="42" customHeight="1" thickBot="1" x14ac:dyDescent="0.3">
      <c r="B201" s="693" t="s">
        <v>640</v>
      </c>
      <c r="C201" s="649" t="s">
        <v>639</v>
      </c>
      <c r="D201" s="2361" t="s">
        <v>638</v>
      </c>
      <c r="E201" s="2362"/>
      <c r="F201" s="2362"/>
      <c r="G201" s="2363"/>
    </row>
    <row r="202" spans="2:10" ht="23.25" customHeight="1" thickBot="1" x14ac:dyDescent="0.3">
      <c r="C202" s="2349" t="s">
        <v>637</v>
      </c>
      <c r="D202" s="2350"/>
      <c r="E202" s="2350"/>
      <c r="F202" s="2350"/>
      <c r="G202" s="2351"/>
      <c r="J202" s="684"/>
    </row>
    <row r="203" spans="2:10" ht="18.600000000000001" customHeight="1" x14ac:dyDescent="0.2">
      <c r="C203" s="690" t="s">
        <v>636</v>
      </c>
      <c r="D203" s="687">
        <f>D204/D207</f>
        <v>9.4359969804809665E-2</v>
      </c>
      <c r="E203" s="687">
        <f>E204/E207</f>
        <v>9.9065369479667681E-2</v>
      </c>
      <c r="F203" s="687">
        <f>F204/F207</f>
        <v>0.1021694558350881</v>
      </c>
      <c r="G203" s="687">
        <f>G204/G207</f>
        <v>0.10536075522589346</v>
      </c>
    </row>
    <row r="204" spans="2:10" x14ac:dyDescent="0.2">
      <c r="C204" s="690" t="s">
        <v>635</v>
      </c>
      <c r="D204" s="692">
        <v>28000</v>
      </c>
      <c r="E204" s="692">
        <v>29000</v>
      </c>
      <c r="F204" s="692">
        <v>29500</v>
      </c>
      <c r="G204" s="692">
        <v>30000</v>
      </c>
    </row>
    <row r="205" spans="2:10" ht="17.45" customHeight="1" x14ac:dyDescent="0.2">
      <c r="C205" s="690" t="s">
        <v>634</v>
      </c>
      <c r="D205" s="687">
        <f>D206/D208</f>
        <v>0.29585798816568049</v>
      </c>
      <c r="E205" s="687">
        <f>E206/E208</f>
        <v>0.29585798816568049</v>
      </c>
      <c r="F205" s="687">
        <f>F206/F208</f>
        <v>0.29585798816568049</v>
      </c>
      <c r="G205" s="687">
        <f>G206/G208</f>
        <v>0.29585798816568049</v>
      </c>
    </row>
    <row r="206" spans="2:10" ht="17.45" customHeight="1" x14ac:dyDescent="0.2">
      <c r="C206" s="690" t="s">
        <v>633</v>
      </c>
      <c r="D206" s="692">
        <v>7000</v>
      </c>
      <c r="E206" s="692">
        <v>7000</v>
      </c>
      <c r="F206" s="692">
        <v>7000</v>
      </c>
      <c r="G206" s="692">
        <v>7000</v>
      </c>
    </row>
    <row r="207" spans="2:10" x14ac:dyDescent="0.25">
      <c r="C207" s="690" t="s">
        <v>632</v>
      </c>
      <c r="D207" s="691">
        <v>296736</v>
      </c>
      <c r="E207" s="691">
        <f>D207-4000</f>
        <v>292736</v>
      </c>
      <c r="F207" s="691">
        <f>E207-4000</f>
        <v>288736</v>
      </c>
      <c r="G207" s="691">
        <f>F207-4000</f>
        <v>284736</v>
      </c>
    </row>
    <row r="208" spans="2:10" ht="15.75" thickBot="1" x14ac:dyDescent="0.3">
      <c r="C208" s="690" t="s">
        <v>631</v>
      </c>
      <c r="D208" s="689">
        <v>23660</v>
      </c>
      <c r="E208" s="689">
        <v>23660</v>
      </c>
      <c r="F208" s="689">
        <v>23660</v>
      </c>
      <c r="G208" s="689">
        <v>23660</v>
      </c>
    </row>
    <row r="209" spans="3:11" ht="17.45" customHeight="1" thickBot="1" x14ac:dyDescent="0.3">
      <c r="C209" s="2346" t="s">
        <v>630</v>
      </c>
      <c r="D209" s="2347"/>
      <c r="E209" s="2347"/>
      <c r="F209" s="2347"/>
      <c r="G209" s="2348"/>
    </row>
    <row r="210" spans="3:11" ht="15" customHeight="1" thickBot="1" x14ac:dyDescent="0.3">
      <c r="C210" s="2146" t="s">
        <v>121</v>
      </c>
      <c r="D210" s="2147"/>
      <c r="E210" s="2147"/>
      <c r="F210" s="2147"/>
      <c r="G210" s="2148"/>
    </row>
    <row r="211" spans="3:11" ht="22.9" customHeight="1" thickBot="1" x14ac:dyDescent="0.3">
      <c r="C211" s="665" t="s">
        <v>629</v>
      </c>
      <c r="D211" s="2331" t="s">
        <v>628</v>
      </c>
      <c r="E211" s="2332"/>
      <c r="F211" s="2332"/>
      <c r="G211" s="2333"/>
    </row>
    <row r="212" spans="3:11" ht="24.6" customHeight="1" thickBot="1" x14ac:dyDescent="0.3">
      <c r="C212" s="663" t="s">
        <v>10</v>
      </c>
      <c r="D212" s="2331" t="s">
        <v>628</v>
      </c>
      <c r="E212" s="2332"/>
      <c r="F212" s="2332"/>
      <c r="G212" s="2333"/>
    </row>
    <row r="213" spans="3:11" ht="15.75" thickBot="1" x14ac:dyDescent="0.3">
      <c r="C213" s="663" t="s">
        <v>13</v>
      </c>
      <c r="D213" s="2334" t="s">
        <v>627</v>
      </c>
      <c r="E213" s="2335"/>
      <c r="F213" s="2335"/>
      <c r="G213" s="2336"/>
    </row>
    <row r="214" spans="3:11" ht="12.75" customHeight="1" x14ac:dyDescent="0.25">
      <c r="C214" s="2337"/>
      <c r="D214" s="657">
        <v>2018</v>
      </c>
      <c r="E214" s="657">
        <v>2019</v>
      </c>
      <c r="F214" s="657">
        <v>2020</v>
      </c>
      <c r="G214" s="657">
        <v>2021</v>
      </c>
    </row>
    <row r="215" spans="3:11" ht="18" customHeight="1" thickBot="1" x14ac:dyDescent="0.3">
      <c r="C215" s="2338"/>
      <c r="D215" s="656" t="s">
        <v>6</v>
      </c>
      <c r="E215" s="656" t="s">
        <v>7</v>
      </c>
      <c r="F215" s="656" t="s">
        <v>7</v>
      </c>
      <c r="G215" s="656" t="s">
        <v>7</v>
      </c>
    </row>
    <row r="216" spans="3:11" ht="15.75" thickBot="1" x14ac:dyDescent="0.3">
      <c r="C216" s="663" t="s">
        <v>9</v>
      </c>
      <c r="D216" s="673">
        <v>35000</v>
      </c>
      <c r="E216" s="673">
        <v>36000</v>
      </c>
      <c r="F216" s="673">
        <v>36500</v>
      </c>
      <c r="G216" s="673">
        <v>37000</v>
      </c>
    </row>
    <row r="217" spans="3:11" ht="15.75" thickBot="1" x14ac:dyDescent="0.3">
      <c r="C217" s="663" t="s">
        <v>14</v>
      </c>
      <c r="D217" s="673">
        <v>550000</v>
      </c>
      <c r="E217" s="673">
        <v>616000</v>
      </c>
      <c r="F217" s="673">
        <v>627000</v>
      </c>
      <c r="G217" s="673">
        <v>638000</v>
      </c>
    </row>
    <row r="218" spans="3:11" ht="15.75" thickBot="1" x14ac:dyDescent="0.3">
      <c r="C218" s="663" t="s">
        <v>23</v>
      </c>
      <c r="D218" s="680">
        <f>D217/D216</f>
        <v>15.714285714285714</v>
      </c>
      <c r="E218" s="680">
        <f t="shared" ref="E218:G218" si="22">E217/E216</f>
        <v>17.111111111111111</v>
      </c>
      <c r="F218" s="680">
        <f t="shared" si="22"/>
        <v>17.17808219178082</v>
      </c>
      <c r="G218" s="680">
        <f t="shared" si="22"/>
        <v>17.243243243243242</v>
      </c>
    </row>
    <row r="219" spans="3:11" ht="15.75" thickBot="1" x14ac:dyDescent="0.25">
      <c r="C219" s="663" t="s">
        <v>15</v>
      </c>
      <c r="D219" s="688"/>
      <c r="E219" s="687">
        <f t="shared" ref="E219:G221" si="23">E216/D216-1</f>
        <v>2.857142857142847E-2</v>
      </c>
      <c r="F219" s="687">
        <f t="shared" si="23"/>
        <v>1.388888888888884E-2</v>
      </c>
      <c r="G219" s="687">
        <f t="shared" si="23"/>
        <v>1.3698630136986356E-2</v>
      </c>
      <c r="I219" s="652"/>
      <c r="J219" s="652"/>
      <c r="K219" s="652"/>
    </row>
    <row r="220" spans="3:11" ht="15.75" thickBot="1" x14ac:dyDescent="0.25">
      <c r="C220" s="663" t="s">
        <v>16</v>
      </c>
      <c r="D220" s="688"/>
      <c r="E220" s="687">
        <f t="shared" si="23"/>
        <v>0.12000000000000011</v>
      </c>
      <c r="F220" s="687">
        <f t="shared" si="23"/>
        <v>1.7857142857142794E-2</v>
      </c>
      <c r="G220" s="687">
        <f t="shared" si="23"/>
        <v>1.7543859649122862E-2</v>
      </c>
    </row>
    <row r="221" spans="3:11" ht="15.75" thickBot="1" x14ac:dyDescent="0.25">
      <c r="C221" s="663" t="s">
        <v>17</v>
      </c>
      <c r="D221" s="688"/>
      <c r="E221" s="687">
        <f t="shared" si="23"/>
        <v>8.8888888888889017E-2</v>
      </c>
      <c r="F221" s="687">
        <f t="shared" si="23"/>
        <v>3.9138943248531177E-3</v>
      </c>
      <c r="G221" s="687">
        <f t="shared" si="23"/>
        <v>3.7932669511617778E-3</v>
      </c>
    </row>
    <row r="222" spans="3:11" ht="31.15" customHeight="1" thickBot="1" x14ac:dyDescent="0.3">
      <c r="C222" s="660" t="s">
        <v>69</v>
      </c>
      <c r="D222" s="659"/>
      <c r="E222" s="659"/>
      <c r="F222" s="659"/>
      <c r="G222" s="658"/>
    </row>
    <row r="223" spans="3:11" ht="12.75" customHeight="1" x14ac:dyDescent="0.25">
      <c r="C223" s="1146"/>
      <c r="D223" s="657">
        <v>2018</v>
      </c>
      <c r="E223" s="657">
        <v>2019</v>
      </c>
      <c r="F223" s="657">
        <v>2020</v>
      </c>
      <c r="G223" s="657">
        <v>2021</v>
      </c>
    </row>
    <row r="224" spans="3:11" ht="9" customHeight="1" thickBot="1" x14ac:dyDescent="0.3">
      <c r="C224" s="1147"/>
      <c r="D224" s="656" t="s">
        <v>6</v>
      </c>
      <c r="E224" s="656" t="s">
        <v>7</v>
      </c>
      <c r="F224" s="656" t="s">
        <v>7</v>
      </c>
      <c r="G224" s="656" t="s">
        <v>7</v>
      </c>
    </row>
    <row r="225" spans="2:10" ht="15.75" thickBot="1" x14ac:dyDescent="0.3">
      <c r="C225" s="641" t="s">
        <v>0</v>
      </c>
      <c r="D225" s="655">
        <v>0</v>
      </c>
      <c r="E225" s="655">
        <v>0</v>
      </c>
      <c r="F225" s="655">
        <v>0</v>
      </c>
      <c r="G225" s="655">
        <v>0</v>
      </c>
    </row>
    <row r="226" spans="2:10" ht="15.75" thickBot="1" x14ac:dyDescent="0.3">
      <c r="C226" s="641" t="s">
        <v>49</v>
      </c>
      <c r="D226" s="655">
        <v>0</v>
      </c>
      <c r="E226" s="655">
        <v>0</v>
      </c>
      <c r="F226" s="655">
        <v>0</v>
      </c>
      <c r="G226" s="655">
        <v>0</v>
      </c>
    </row>
    <row r="227" spans="2:10" ht="15.75" thickBot="1" x14ac:dyDescent="0.3">
      <c r="C227" s="641" t="s">
        <v>1</v>
      </c>
      <c r="D227" s="673">
        <f>D217</f>
        <v>550000</v>
      </c>
      <c r="E227" s="673">
        <f>E217</f>
        <v>616000</v>
      </c>
      <c r="F227" s="673">
        <f>F217</f>
        <v>627000</v>
      </c>
      <c r="G227" s="673">
        <f>G217</f>
        <v>638000</v>
      </c>
      <c r="H227" s="1426">
        <f>E217*1.1</f>
        <v>677600</v>
      </c>
      <c r="I227" s="1426">
        <f>F217*1.1</f>
        <v>689700</v>
      </c>
      <c r="J227" s="1426">
        <f>G217*1.1</f>
        <v>701800</v>
      </c>
    </row>
    <row r="228" spans="2:10" ht="15.75" thickBot="1" x14ac:dyDescent="0.3">
      <c r="C228" s="641" t="s">
        <v>2</v>
      </c>
      <c r="D228" s="639">
        <v>0</v>
      </c>
      <c r="E228" s="639">
        <v>0</v>
      </c>
      <c r="F228" s="639">
        <v>0</v>
      </c>
      <c r="G228" s="639">
        <v>0</v>
      </c>
    </row>
    <row r="229" spans="2:10" ht="15.75" thickBot="1" x14ac:dyDescent="0.3">
      <c r="C229" s="641" t="s">
        <v>28</v>
      </c>
      <c r="D229" s="639">
        <v>0</v>
      </c>
      <c r="E229" s="639">
        <v>0</v>
      </c>
      <c r="F229" s="639">
        <v>0</v>
      </c>
      <c r="G229" s="639">
        <v>0</v>
      </c>
    </row>
    <row r="230" spans="2:10" ht="15.75" thickBot="1" x14ac:dyDescent="0.3">
      <c r="C230" s="641" t="s">
        <v>30</v>
      </c>
      <c r="D230" s="639">
        <v>0</v>
      </c>
      <c r="E230" s="639">
        <v>0</v>
      </c>
      <c r="F230" s="639">
        <v>0</v>
      </c>
      <c r="G230" s="639">
        <v>0</v>
      </c>
    </row>
    <row r="231" spans="2:10" ht="15.75" thickBot="1" x14ac:dyDescent="0.3">
      <c r="C231" s="641" t="s">
        <v>3</v>
      </c>
      <c r="D231" s="677"/>
      <c r="E231" s="677"/>
      <c r="F231" s="677"/>
      <c r="G231" s="677"/>
    </row>
    <row r="232" spans="2:10" x14ac:dyDescent="0.25">
      <c r="C232" s="674" t="s">
        <v>68</v>
      </c>
      <c r="D232" s="673">
        <f>SUM(D225:D231)</f>
        <v>550000</v>
      </c>
      <c r="E232" s="673">
        <f t="shared" ref="E232:G232" si="24">SUM(E225:E231)</f>
        <v>616000</v>
      </c>
      <c r="F232" s="673">
        <f t="shared" si="24"/>
        <v>627000</v>
      </c>
      <c r="G232" s="673">
        <f t="shared" si="24"/>
        <v>638000</v>
      </c>
    </row>
    <row r="233" spans="2:10" ht="15.75" thickBot="1" x14ac:dyDescent="0.3">
      <c r="C233" s="638" t="s">
        <v>70</v>
      </c>
      <c r="D233" s="637">
        <f>D232-D217</f>
        <v>0</v>
      </c>
      <c r="E233" s="637">
        <f t="shared" ref="E233:G233" si="25">E232-E217</f>
        <v>0</v>
      </c>
      <c r="F233" s="637">
        <f t="shared" si="25"/>
        <v>0</v>
      </c>
      <c r="G233" s="637">
        <f t="shared" si="25"/>
        <v>0</v>
      </c>
    </row>
    <row r="234" spans="2:10" ht="63" customHeight="1" thickBot="1" x14ac:dyDescent="0.3">
      <c r="B234" s="686" t="s">
        <v>626</v>
      </c>
      <c r="C234" s="649" t="s">
        <v>625</v>
      </c>
      <c r="D234" s="2339" t="s">
        <v>624</v>
      </c>
      <c r="E234" s="2340"/>
      <c r="F234" s="2340"/>
      <c r="G234" s="2341"/>
    </row>
    <row r="235" spans="2:10" ht="23.25" customHeight="1" thickBot="1" x14ac:dyDescent="0.3">
      <c r="C235" s="2349" t="s">
        <v>623</v>
      </c>
      <c r="D235" s="2350"/>
      <c r="E235" s="2350"/>
      <c r="F235" s="2350"/>
      <c r="G235" s="2351"/>
      <c r="J235" s="684"/>
    </row>
    <row r="236" spans="2:10" ht="34.5" customHeight="1" x14ac:dyDescent="0.25">
      <c r="C236" s="673" t="s">
        <v>622</v>
      </c>
      <c r="D236" s="673">
        <v>300</v>
      </c>
      <c r="E236" s="673">
        <v>300</v>
      </c>
      <c r="F236" s="673">
        <v>300</v>
      </c>
      <c r="G236" s="673">
        <v>300</v>
      </c>
    </row>
    <row r="237" spans="2:10" ht="15.75" thickBot="1" x14ac:dyDescent="0.3">
      <c r="C237" s="673" t="s">
        <v>621</v>
      </c>
      <c r="D237" s="673">
        <v>50</v>
      </c>
      <c r="E237" s="673">
        <v>50</v>
      </c>
      <c r="F237" s="673">
        <v>50</v>
      </c>
      <c r="G237" s="673">
        <v>50</v>
      </c>
    </row>
    <row r="238" spans="2:10" ht="91.9" customHeight="1" thickBot="1" x14ac:dyDescent="0.3">
      <c r="C238" s="685" t="s">
        <v>620</v>
      </c>
      <c r="D238" s="2339" t="s">
        <v>619</v>
      </c>
      <c r="E238" s="2340"/>
      <c r="F238" s="2340"/>
      <c r="G238" s="2341"/>
    </row>
    <row r="239" spans="2:10" ht="23.25" customHeight="1" thickBot="1" x14ac:dyDescent="0.3">
      <c r="C239" s="2349" t="s">
        <v>618</v>
      </c>
      <c r="D239" s="2350"/>
      <c r="E239" s="2350"/>
      <c r="F239" s="2350"/>
      <c r="G239" s="2351"/>
      <c r="J239" s="684"/>
    </row>
    <row r="240" spans="2:10" ht="19.899999999999999" customHeight="1" thickBot="1" x14ac:dyDescent="0.3">
      <c r="C240" s="683"/>
      <c r="D240" s="681"/>
      <c r="E240" s="681"/>
      <c r="F240" s="681"/>
      <c r="G240" s="681"/>
    </row>
    <row r="241" spans="3:11" ht="15.75" thickBot="1" x14ac:dyDescent="0.3">
      <c r="C241" s="682"/>
      <c r="D241" s="681"/>
      <c r="E241" s="681"/>
      <c r="F241" s="681"/>
      <c r="G241" s="681"/>
    </row>
    <row r="242" spans="3:11" ht="15.75" thickBot="1" x14ac:dyDescent="0.3">
      <c r="C242" s="682"/>
      <c r="D242" s="681"/>
      <c r="E242" s="681"/>
      <c r="F242" s="681"/>
      <c r="G242" s="681"/>
    </row>
    <row r="243" spans="3:11" ht="15" customHeight="1" thickBot="1" x14ac:dyDescent="0.3">
      <c r="C243" s="2346" t="s">
        <v>614</v>
      </c>
      <c r="D243" s="2347"/>
      <c r="E243" s="2347"/>
      <c r="F243" s="2347"/>
      <c r="G243" s="2348"/>
    </row>
    <row r="244" spans="3:11" ht="15" customHeight="1" thickBot="1" x14ac:dyDescent="0.3">
      <c r="C244" s="2146" t="s">
        <v>121</v>
      </c>
      <c r="D244" s="2147"/>
      <c r="E244" s="2147"/>
      <c r="F244" s="2147"/>
      <c r="G244" s="2148"/>
    </row>
    <row r="245" spans="3:11" ht="24.6" customHeight="1" thickBot="1" x14ac:dyDescent="0.3">
      <c r="C245" s="665" t="s">
        <v>617</v>
      </c>
      <c r="D245" s="2331" t="s">
        <v>616</v>
      </c>
      <c r="E245" s="2332"/>
      <c r="F245" s="2332"/>
      <c r="G245" s="2333"/>
    </row>
    <row r="246" spans="3:11" ht="27" customHeight="1" thickBot="1" x14ac:dyDescent="0.3">
      <c r="C246" s="663" t="s">
        <v>10</v>
      </c>
      <c r="D246" s="2331" t="s">
        <v>616</v>
      </c>
      <c r="E246" s="2332"/>
      <c r="F246" s="2332"/>
      <c r="G246" s="2333"/>
    </row>
    <row r="247" spans="3:11" ht="15.75" thickBot="1" x14ac:dyDescent="0.3">
      <c r="C247" s="663" t="s">
        <v>13</v>
      </c>
      <c r="D247" s="2334" t="s">
        <v>615</v>
      </c>
      <c r="E247" s="2335"/>
      <c r="F247" s="2335"/>
      <c r="G247" s="2336"/>
    </row>
    <row r="248" spans="3:11" ht="12.75" customHeight="1" x14ac:dyDescent="0.25">
      <c r="C248" s="2337"/>
      <c r="D248" s="657">
        <v>2018</v>
      </c>
      <c r="E248" s="657">
        <v>2019</v>
      </c>
      <c r="F248" s="657">
        <v>2020</v>
      </c>
      <c r="G248" s="657">
        <v>2021</v>
      </c>
    </row>
    <row r="249" spans="3:11" ht="9" customHeight="1" thickBot="1" x14ac:dyDescent="0.3">
      <c r="C249" s="2338"/>
      <c r="D249" s="656" t="s">
        <v>6</v>
      </c>
      <c r="E249" s="656" t="s">
        <v>7</v>
      </c>
      <c r="F249" s="656" t="s">
        <v>7</v>
      </c>
      <c r="G249" s="656" t="s">
        <v>7</v>
      </c>
    </row>
    <row r="250" spans="3:11" ht="15.75" thickBot="1" x14ac:dyDescent="0.3">
      <c r="C250" s="663" t="s">
        <v>9</v>
      </c>
      <c r="D250" s="673">
        <v>400</v>
      </c>
      <c r="E250" s="673">
        <v>400</v>
      </c>
      <c r="F250" s="673">
        <v>400</v>
      </c>
      <c r="G250" s="673">
        <v>400</v>
      </c>
    </row>
    <row r="251" spans="3:11" ht="15.75" thickBot="1" x14ac:dyDescent="0.3">
      <c r="C251" s="663" t="s">
        <v>14</v>
      </c>
      <c r="D251" s="673">
        <v>4000</v>
      </c>
      <c r="E251" s="673">
        <v>4079.9999999999995</v>
      </c>
      <c r="F251" s="673">
        <v>4161.6000000000004</v>
      </c>
      <c r="G251" s="673">
        <v>4244.8320000000003</v>
      </c>
    </row>
    <row r="252" spans="3:11" ht="15.75" thickBot="1" x14ac:dyDescent="0.3">
      <c r="C252" s="663" t="s">
        <v>23</v>
      </c>
      <c r="D252" s="680">
        <f>D251/D250</f>
        <v>10</v>
      </c>
      <c r="E252" s="680">
        <f t="shared" ref="E252:G252" si="26">E251/E250</f>
        <v>10.199999999999999</v>
      </c>
      <c r="F252" s="680">
        <f t="shared" si="26"/>
        <v>10.404000000000002</v>
      </c>
      <c r="G252" s="680">
        <f t="shared" si="26"/>
        <v>10.612080000000001</v>
      </c>
    </row>
    <row r="253" spans="3:11" ht="15.75" thickBot="1" x14ac:dyDescent="0.3">
      <c r="C253" s="663" t="s">
        <v>15</v>
      </c>
      <c r="D253" s="662"/>
      <c r="E253" s="679">
        <f t="shared" ref="E253:G255" si="27">E250/D250-1</f>
        <v>0</v>
      </c>
      <c r="F253" s="679">
        <f t="shared" si="27"/>
        <v>0</v>
      </c>
      <c r="G253" s="679">
        <f t="shared" si="27"/>
        <v>0</v>
      </c>
      <c r="I253" s="652"/>
      <c r="J253" s="652"/>
      <c r="K253" s="652"/>
    </row>
    <row r="254" spans="3:11" ht="15.75" thickBot="1" x14ac:dyDescent="0.3">
      <c r="C254" s="663" t="s">
        <v>16</v>
      </c>
      <c r="D254" s="662"/>
      <c r="E254" s="678">
        <f t="shared" si="27"/>
        <v>1.9999999999999796E-2</v>
      </c>
      <c r="F254" s="678">
        <f t="shared" si="27"/>
        <v>2.000000000000024E-2</v>
      </c>
      <c r="G254" s="678">
        <f t="shared" si="27"/>
        <v>2.0000000000000018E-2</v>
      </c>
    </row>
    <row r="255" spans="3:11" ht="15.75" thickBot="1" x14ac:dyDescent="0.3">
      <c r="C255" s="663" t="s">
        <v>17</v>
      </c>
      <c r="D255" s="662"/>
      <c r="E255" s="678">
        <f t="shared" si="27"/>
        <v>2.0000000000000018E-2</v>
      </c>
      <c r="F255" s="678">
        <f t="shared" si="27"/>
        <v>2.000000000000024E-2</v>
      </c>
      <c r="G255" s="678">
        <f t="shared" si="27"/>
        <v>1.9999999999999796E-2</v>
      </c>
    </row>
    <row r="256" spans="3:11" ht="25.15" customHeight="1" thickBot="1" x14ac:dyDescent="0.3">
      <c r="C256" s="660" t="s">
        <v>69</v>
      </c>
      <c r="D256" s="659"/>
      <c r="E256" s="659"/>
      <c r="F256" s="659"/>
      <c r="G256" s="658"/>
    </row>
    <row r="257" spans="3:7" ht="12.75" customHeight="1" x14ac:dyDescent="0.25">
      <c r="C257" s="1146"/>
      <c r="D257" s="657">
        <v>2018</v>
      </c>
      <c r="E257" s="657">
        <v>2019</v>
      </c>
      <c r="F257" s="657">
        <v>2020</v>
      </c>
      <c r="G257" s="657">
        <v>2021</v>
      </c>
    </row>
    <row r="258" spans="3:7" ht="9" customHeight="1" thickBot="1" x14ac:dyDescent="0.3">
      <c r="C258" s="1147"/>
      <c r="D258" s="656" t="s">
        <v>6</v>
      </c>
      <c r="E258" s="656" t="s">
        <v>7</v>
      </c>
      <c r="F258" s="656" t="s">
        <v>7</v>
      </c>
      <c r="G258" s="656" t="s">
        <v>7</v>
      </c>
    </row>
    <row r="259" spans="3:7" ht="15.75" thickBot="1" x14ac:dyDescent="0.3">
      <c r="C259" s="641" t="s">
        <v>0</v>
      </c>
      <c r="D259" s="673">
        <v>0</v>
      </c>
      <c r="E259" s="673"/>
      <c r="F259" s="673"/>
      <c r="G259" s="673"/>
    </row>
    <row r="260" spans="3:7" ht="15.75" thickBot="1" x14ac:dyDescent="0.3">
      <c r="C260" s="641" t="s">
        <v>49</v>
      </c>
      <c r="D260" s="673">
        <v>0</v>
      </c>
      <c r="E260" s="673"/>
      <c r="F260" s="673"/>
      <c r="G260" s="673"/>
    </row>
    <row r="261" spans="3:7" ht="15.75" thickBot="1" x14ac:dyDescent="0.3">
      <c r="C261" s="641" t="s">
        <v>1</v>
      </c>
      <c r="D261" s="673">
        <f>D251</f>
        <v>4000</v>
      </c>
      <c r="E261" s="673">
        <f>E251</f>
        <v>4079.9999999999995</v>
      </c>
      <c r="F261" s="673">
        <f>F251</f>
        <v>4161.6000000000004</v>
      </c>
      <c r="G261" s="673">
        <f>G251</f>
        <v>4244.8320000000003</v>
      </c>
    </row>
    <row r="262" spans="3:7" ht="15.75" thickBot="1" x14ac:dyDescent="0.3">
      <c r="C262" s="641" t="s">
        <v>2</v>
      </c>
      <c r="D262" s="673">
        <v>0</v>
      </c>
      <c r="E262" s="673"/>
      <c r="F262" s="673"/>
      <c r="G262" s="673"/>
    </row>
    <row r="263" spans="3:7" ht="15.75" thickBot="1" x14ac:dyDescent="0.3">
      <c r="C263" s="641" t="s">
        <v>28</v>
      </c>
      <c r="D263" s="673">
        <v>0</v>
      </c>
      <c r="E263" s="673"/>
      <c r="F263" s="673"/>
      <c r="G263" s="673"/>
    </row>
    <row r="264" spans="3:7" ht="15.75" thickBot="1" x14ac:dyDescent="0.3">
      <c r="C264" s="641" t="s">
        <v>30</v>
      </c>
      <c r="D264" s="673">
        <v>0</v>
      </c>
      <c r="E264" s="673"/>
      <c r="F264" s="673"/>
      <c r="G264" s="673"/>
    </row>
    <row r="265" spans="3:7" ht="15.75" thickBot="1" x14ac:dyDescent="0.3">
      <c r="C265" s="641" t="s">
        <v>3</v>
      </c>
      <c r="D265" s="677"/>
      <c r="E265" s="677"/>
      <c r="F265" s="677"/>
      <c r="G265" s="677"/>
    </row>
    <row r="266" spans="3:7" x14ac:dyDescent="0.25">
      <c r="C266" s="674" t="s">
        <v>68</v>
      </c>
      <c r="D266" s="1457">
        <f>SUM(D259:D265)</f>
        <v>4000</v>
      </c>
      <c r="E266" s="1457">
        <f t="shared" ref="E266:G266" si="28">SUM(E259:E265)</f>
        <v>4079.9999999999995</v>
      </c>
      <c r="F266" s="1457">
        <f t="shared" si="28"/>
        <v>4161.6000000000004</v>
      </c>
      <c r="G266" s="1457">
        <f t="shared" si="28"/>
        <v>4244.8320000000003</v>
      </c>
    </row>
    <row r="267" spans="3:7" ht="15.75" thickBot="1" x14ac:dyDescent="0.3">
      <c r="C267" s="638" t="s">
        <v>70</v>
      </c>
      <c r="D267" s="673">
        <f>D266-D251</f>
        <v>0</v>
      </c>
      <c r="E267" s="673">
        <f t="shared" ref="E267:G267" si="29">E266-E251</f>
        <v>0</v>
      </c>
      <c r="F267" s="673">
        <f t="shared" si="29"/>
        <v>0</v>
      </c>
      <c r="G267" s="673">
        <f t="shared" si="29"/>
        <v>0</v>
      </c>
    </row>
    <row r="268" spans="3:7" ht="15" customHeight="1" thickBot="1" x14ac:dyDescent="0.3">
      <c r="C268" s="2379" t="s">
        <v>614</v>
      </c>
      <c r="D268" s="2380"/>
      <c r="E268" s="2380"/>
      <c r="F268" s="2380"/>
      <c r="G268" s="2381"/>
    </row>
    <row r="269" spans="3:7" ht="15" customHeight="1" thickBot="1" x14ac:dyDescent="0.3">
      <c r="C269" s="2382" t="s">
        <v>613</v>
      </c>
      <c r="D269" s="2383"/>
      <c r="E269" s="2383"/>
      <c r="F269" s="2383"/>
      <c r="G269" s="2384"/>
    </row>
    <row r="270" spans="3:7" ht="15.75" thickBot="1" x14ac:dyDescent="0.3">
      <c r="C270" s="665" t="s">
        <v>612</v>
      </c>
      <c r="D270" s="2364" t="s">
        <v>611</v>
      </c>
      <c r="E270" s="2365"/>
      <c r="F270" s="2365"/>
      <c r="G270" s="2366"/>
    </row>
    <row r="271" spans="3:7" ht="17.25" customHeight="1" thickBot="1" x14ac:dyDescent="0.3">
      <c r="C271" s="663" t="s">
        <v>10</v>
      </c>
      <c r="D271" s="2364" t="s">
        <v>611</v>
      </c>
      <c r="E271" s="2365"/>
      <c r="F271" s="2365"/>
      <c r="G271" s="2366"/>
    </row>
    <row r="272" spans="3:7" ht="15.75" thickBot="1" x14ac:dyDescent="0.3">
      <c r="C272" s="663" t="s">
        <v>13</v>
      </c>
      <c r="D272" s="2334" t="s">
        <v>610</v>
      </c>
      <c r="E272" s="2335"/>
      <c r="F272" s="2335"/>
      <c r="G272" s="2336"/>
    </row>
    <row r="273" spans="3:11" ht="12.75" customHeight="1" x14ac:dyDescent="0.25">
      <c r="C273" s="2337"/>
      <c r="D273" s="657">
        <v>2018</v>
      </c>
      <c r="E273" s="657">
        <v>2019</v>
      </c>
      <c r="F273" s="657">
        <v>2020</v>
      </c>
      <c r="G273" s="657">
        <v>2021</v>
      </c>
    </row>
    <row r="274" spans="3:11" ht="15" customHeight="1" thickBot="1" x14ac:dyDescent="0.3">
      <c r="C274" s="2338"/>
      <c r="D274" s="656" t="s">
        <v>6</v>
      </c>
      <c r="E274" s="656" t="s">
        <v>7</v>
      </c>
      <c r="F274" s="656" t="s">
        <v>7</v>
      </c>
      <c r="G274" s="656" t="s">
        <v>7</v>
      </c>
    </row>
    <row r="275" spans="3:11" ht="15.75" thickBot="1" x14ac:dyDescent="0.3">
      <c r="C275" s="663" t="s">
        <v>9</v>
      </c>
      <c r="D275" s="673">
        <v>40</v>
      </c>
      <c r="E275" s="673">
        <v>40</v>
      </c>
      <c r="F275" s="673">
        <v>40</v>
      </c>
      <c r="G275" s="673">
        <v>40</v>
      </c>
    </row>
    <row r="276" spans="3:11" ht="15.75" thickBot="1" x14ac:dyDescent="0.3">
      <c r="C276" s="663" t="s">
        <v>14</v>
      </c>
      <c r="D276" s="673">
        <v>30000</v>
      </c>
      <c r="E276" s="673">
        <v>30000</v>
      </c>
      <c r="F276" s="673">
        <v>30000</v>
      </c>
      <c r="G276" s="673">
        <v>30000</v>
      </c>
    </row>
    <row r="277" spans="3:11" ht="15.75" thickBot="1" x14ac:dyDescent="0.3">
      <c r="C277" s="663" t="s">
        <v>23</v>
      </c>
      <c r="D277" s="673">
        <v>750</v>
      </c>
      <c r="E277" s="673">
        <v>750</v>
      </c>
      <c r="F277" s="673">
        <v>750</v>
      </c>
      <c r="G277" s="673">
        <v>750</v>
      </c>
    </row>
    <row r="278" spans="3:11" ht="15.75" thickBot="1" x14ac:dyDescent="0.3">
      <c r="C278" s="663" t="s">
        <v>15</v>
      </c>
      <c r="D278" s="662"/>
      <c r="E278" s="661">
        <f t="shared" ref="E278:G280" si="30">E275/D275-1</f>
        <v>0</v>
      </c>
      <c r="F278" s="661">
        <f t="shared" si="30"/>
        <v>0</v>
      </c>
      <c r="G278" s="661">
        <f t="shared" si="30"/>
        <v>0</v>
      </c>
      <c r="I278" s="652"/>
      <c r="J278" s="652"/>
      <c r="K278" s="652"/>
    </row>
    <row r="279" spans="3:11" ht="15.75" thickBot="1" x14ac:dyDescent="0.3">
      <c r="C279" s="663" t="s">
        <v>16</v>
      </c>
      <c r="D279" s="662"/>
      <c r="E279" s="676">
        <f t="shared" si="30"/>
        <v>0</v>
      </c>
      <c r="F279" s="676">
        <f t="shared" si="30"/>
        <v>0</v>
      </c>
      <c r="G279" s="676">
        <f t="shared" si="30"/>
        <v>0</v>
      </c>
    </row>
    <row r="280" spans="3:11" ht="15.75" thickBot="1" x14ac:dyDescent="0.3">
      <c r="C280" s="663" t="s">
        <v>17</v>
      </c>
      <c r="D280" s="662"/>
      <c r="E280" s="676">
        <f t="shared" si="30"/>
        <v>0</v>
      </c>
      <c r="F280" s="676">
        <f t="shared" si="30"/>
        <v>0</v>
      </c>
      <c r="G280" s="676">
        <f t="shared" si="30"/>
        <v>0</v>
      </c>
    </row>
    <row r="281" spans="3:11" ht="15.75" thickBot="1" x14ac:dyDescent="0.3">
      <c r="C281" s="2352" t="s">
        <v>69</v>
      </c>
      <c r="D281" s="2353"/>
      <c r="E281" s="2353"/>
      <c r="F281" s="2353"/>
      <c r="G281" s="2354"/>
    </row>
    <row r="282" spans="3:11" ht="12.75" customHeight="1" x14ac:dyDescent="0.25">
      <c r="C282" s="2337"/>
      <c r="D282" s="657">
        <v>2018</v>
      </c>
      <c r="E282" s="657">
        <v>2019</v>
      </c>
      <c r="F282" s="657">
        <v>2020</v>
      </c>
      <c r="G282" s="657">
        <v>2021</v>
      </c>
    </row>
    <row r="283" spans="3:11" ht="9" customHeight="1" thickBot="1" x14ac:dyDescent="0.3">
      <c r="C283" s="2338"/>
      <c r="D283" s="656" t="s">
        <v>6</v>
      </c>
      <c r="E283" s="656" t="s">
        <v>7</v>
      </c>
      <c r="F283" s="656" t="s">
        <v>7</v>
      </c>
      <c r="G283" s="656" t="s">
        <v>7</v>
      </c>
    </row>
    <row r="284" spans="3:11" ht="18" customHeight="1" thickBot="1" x14ac:dyDescent="0.3">
      <c r="C284" s="641" t="s">
        <v>104</v>
      </c>
      <c r="D284" s="655">
        <v>0</v>
      </c>
      <c r="E284" s="655">
        <v>0</v>
      </c>
      <c r="F284" s="655">
        <v>0</v>
      </c>
      <c r="G284" s="655">
        <v>0</v>
      </c>
    </row>
    <row r="285" spans="3:11" ht="18" customHeight="1" thickBot="1" x14ac:dyDescent="0.3">
      <c r="C285" s="641" t="s">
        <v>105</v>
      </c>
      <c r="D285" s="673">
        <f>D276</f>
        <v>30000</v>
      </c>
      <c r="E285" s="673">
        <v>30000</v>
      </c>
      <c r="F285" s="673">
        <v>30000</v>
      </c>
      <c r="G285" s="673">
        <v>30000</v>
      </c>
    </row>
    <row r="286" spans="3:11" ht="18.600000000000001" customHeight="1" thickBot="1" x14ac:dyDescent="0.3">
      <c r="C286" s="674" t="s">
        <v>68</v>
      </c>
      <c r="D286" s="673">
        <f>D285+D284</f>
        <v>30000</v>
      </c>
      <c r="E286" s="673">
        <f>E285+E284</f>
        <v>30000</v>
      </c>
      <c r="F286" s="673">
        <f>F285+F284</f>
        <v>30000</v>
      </c>
      <c r="G286" s="673">
        <f>G285+G284</f>
        <v>30000</v>
      </c>
    </row>
    <row r="287" spans="3:11" x14ac:dyDescent="0.25">
      <c r="C287" s="2367" t="s">
        <v>102</v>
      </c>
      <c r="D287" s="2370" t="s">
        <v>609</v>
      </c>
      <c r="E287" s="2371"/>
      <c r="F287" s="2371"/>
      <c r="G287" s="2372"/>
    </row>
    <row r="288" spans="3:11" x14ac:dyDescent="0.25">
      <c r="C288" s="2368"/>
      <c r="D288" s="2373"/>
      <c r="E288" s="2374"/>
      <c r="F288" s="2374"/>
      <c r="G288" s="2375"/>
    </row>
    <row r="289" spans="3:11" ht="39.6" customHeight="1" thickBot="1" x14ac:dyDescent="0.3">
      <c r="C289" s="2369"/>
      <c r="D289" s="2376"/>
      <c r="E289" s="2377"/>
      <c r="F289" s="2377"/>
      <c r="G289" s="2378"/>
    </row>
    <row r="290" spans="3:11" ht="15.75" thickBot="1" x14ac:dyDescent="0.3">
      <c r="C290" s="665" t="s">
        <v>608</v>
      </c>
      <c r="D290" s="2364" t="s">
        <v>607</v>
      </c>
      <c r="E290" s="2365"/>
      <c r="F290" s="2365"/>
      <c r="G290" s="2366"/>
    </row>
    <row r="291" spans="3:11" ht="17.25" customHeight="1" thickBot="1" x14ac:dyDescent="0.3">
      <c r="C291" s="663" t="s">
        <v>10</v>
      </c>
      <c r="D291" s="2364" t="s">
        <v>607</v>
      </c>
      <c r="E291" s="2365"/>
      <c r="F291" s="2365"/>
      <c r="G291" s="2366"/>
    </row>
    <row r="292" spans="3:11" ht="15.75" thickBot="1" x14ac:dyDescent="0.3">
      <c r="C292" s="663" t="s">
        <v>13</v>
      </c>
      <c r="D292" s="2334" t="s">
        <v>606</v>
      </c>
      <c r="E292" s="2335"/>
      <c r="F292" s="2335"/>
      <c r="G292" s="2336"/>
    </row>
    <row r="293" spans="3:11" ht="12.75" customHeight="1" x14ac:dyDescent="0.25">
      <c r="C293" s="2337"/>
      <c r="D293" s="657">
        <v>2018</v>
      </c>
      <c r="E293" s="657">
        <v>2019</v>
      </c>
      <c r="F293" s="657">
        <v>2020</v>
      </c>
      <c r="G293" s="657">
        <v>2021</v>
      </c>
    </row>
    <row r="294" spans="3:11" ht="15" customHeight="1" thickBot="1" x14ac:dyDescent="0.3">
      <c r="C294" s="2338"/>
      <c r="D294" s="656" t="s">
        <v>6</v>
      </c>
      <c r="E294" s="656" t="s">
        <v>7</v>
      </c>
      <c r="F294" s="656" t="s">
        <v>7</v>
      </c>
      <c r="G294" s="656" t="s">
        <v>7</v>
      </c>
    </row>
    <row r="295" spans="3:11" ht="15.75" thickBot="1" x14ac:dyDescent="0.3">
      <c r="C295" s="663" t="s">
        <v>9</v>
      </c>
      <c r="D295" s="673">
        <v>117</v>
      </c>
      <c r="E295" s="673">
        <v>174</v>
      </c>
      <c r="F295" s="673">
        <v>195</v>
      </c>
      <c r="G295" s="673">
        <v>216</v>
      </c>
      <c r="H295" s="617">
        <v>108</v>
      </c>
      <c r="I295" s="617">
        <v>86</v>
      </c>
      <c r="J295" s="617">
        <v>86</v>
      </c>
    </row>
    <row r="296" spans="3:11" ht="15.75" thickBot="1" x14ac:dyDescent="0.3">
      <c r="C296" s="663" t="s">
        <v>14</v>
      </c>
      <c r="D296" s="673">
        <v>537189</v>
      </c>
      <c r="E296" s="673">
        <v>800000</v>
      </c>
      <c r="F296" s="673">
        <v>900000</v>
      </c>
      <c r="G296" s="673">
        <v>1000000</v>
      </c>
      <c r="H296" s="642">
        <v>300000</v>
      </c>
      <c r="I296" s="642">
        <v>500000</v>
      </c>
      <c r="J296" s="642">
        <v>600000</v>
      </c>
    </row>
    <row r="297" spans="3:11" ht="15.75" thickBot="1" x14ac:dyDescent="0.3">
      <c r="C297" s="663" t="s">
        <v>23</v>
      </c>
      <c r="D297" s="673">
        <f>D296/D295</f>
        <v>4591.3589743589746</v>
      </c>
      <c r="E297" s="673">
        <f>E296/E295</f>
        <v>4597.7011494252874</v>
      </c>
      <c r="F297" s="673">
        <f>F296/F295</f>
        <v>4615.3846153846152</v>
      </c>
      <c r="G297" s="673">
        <f>G296/G295</f>
        <v>4629.6296296296296</v>
      </c>
    </row>
    <row r="298" spans="3:11" ht="15.75" thickBot="1" x14ac:dyDescent="0.3">
      <c r="C298" s="663" t="s">
        <v>15</v>
      </c>
      <c r="D298" s="673"/>
      <c r="E298" s="675">
        <f t="shared" ref="E298:G300" si="31">E295/D295-1</f>
        <v>0.48717948717948723</v>
      </c>
      <c r="F298" s="675">
        <f t="shared" si="31"/>
        <v>0.1206896551724137</v>
      </c>
      <c r="G298" s="675">
        <f t="shared" si="31"/>
        <v>0.10769230769230775</v>
      </c>
      <c r="I298" s="652"/>
      <c r="J298" s="652"/>
      <c r="K298" s="652"/>
    </row>
    <row r="299" spans="3:11" ht="15.75" thickBot="1" x14ac:dyDescent="0.3">
      <c r="C299" s="663" t="s">
        <v>16</v>
      </c>
      <c r="D299" s="673"/>
      <c r="E299" s="675">
        <f t="shared" si="31"/>
        <v>0.48923377060959927</v>
      </c>
      <c r="F299" s="675">
        <f t="shared" si="31"/>
        <v>0.125</v>
      </c>
      <c r="G299" s="675">
        <f t="shared" si="31"/>
        <v>0.11111111111111116</v>
      </c>
    </row>
    <row r="300" spans="3:11" ht="15.75" thickBot="1" x14ac:dyDescent="0.3">
      <c r="C300" s="663" t="s">
        <v>17</v>
      </c>
      <c r="D300" s="673"/>
      <c r="E300" s="675">
        <f t="shared" si="31"/>
        <v>1.3813285133512654E-3</v>
      </c>
      <c r="F300" s="675">
        <f t="shared" si="31"/>
        <v>3.8461538461538325E-3</v>
      </c>
      <c r="G300" s="675">
        <f t="shared" si="31"/>
        <v>3.0864197530864335E-3</v>
      </c>
    </row>
    <row r="301" spans="3:11" ht="15.75" thickBot="1" x14ac:dyDescent="0.3">
      <c r="C301" s="2352" t="s">
        <v>69</v>
      </c>
      <c r="D301" s="2353"/>
      <c r="E301" s="2353"/>
      <c r="F301" s="2353"/>
      <c r="G301" s="2354"/>
    </row>
    <row r="302" spans="3:11" ht="12.75" customHeight="1" x14ac:dyDescent="0.25">
      <c r="C302" s="2337"/>
      <c r="D302" s="657">
        <v>2018</v>
      </c>
      <c r="E302" s="657">
        <v>2019</v>
      </c>
      <c r="F302" s="657">
        <v>2020</v>
      </c>
      <c r="G302" s="657">
        <v>2021</v>
      </c>
    </row>
    <row r="303" spans="3:11" ht="15" customHeight="1" thickBot="1" x14ac:dyDescent="0.3">
      <c r="C303" s="2338"/>
      <c r="D303" s="656" t="s">
        <v>6</v>
      </c>
      <c r="E303" s="656" t="s">
        <v>7</v>
      </c>
      <c r="F303" s="656" t="s">
        <v>7</v>
      </c>
      <c r="G303" s="656" t="s">
        <v>7</v>
      </c>
    </row>
    <row r="304" spans="3:11" ht="15.75" thickBot="1" x14ac:dyDescent="0.3">
      <c r="C304" s="641" t="s">
        <v>104</v>
      </c>
      <c r="D304" s="655"/>
      <c r="E304" s="655"/>
      <c r="F304" s="655"/>
      <c r="G304" s="655"/>
    </row>
    <row r="305" spans="3:11" ht="15.75" thickBot="1" x14ac:dyDescent="0.3">
      <c r="C305" s="641" t="s">
        <v>105</v>
      </c>
      <c r="D305" s="673">
        <f>D296</f>
        <v>537189</v>
      </c>
      <c r="E305" s="673">
        <f>E296</f>
        <v>800000</v>
      </c>
      <c r="F305" s="673">
        <f>F296</f>
        <v>900000</v>
      </c>
      <c r="G305" s="673">
        <f>G296</f>
        <v>1000000</v>
      </c>
    </row>
    <row r="306" spans="3:11" ht="15.75" thickBot="1" x14ac:dyDescent="0.3">
      <c r="C306" s="674" t="s">
        <v>68</v>
      </c>
      <c r="D306" s="673">
        <f>D305+D304</f>
        <v>537189</v>
      </c>
      <c r="E306" s="673">
        <f>E305+E304</f>
        <v>800000</v>
      </c>
      <c r="F306" s="673">
        <f>F305+F304</f>
        <v>900000</v>
      </c>
      <c r="G306" s="673">
        <f>G305+G304</f>
        <v>1000000</v>
      </c>
    </row>
    <row r="307" spans="3:11" x14ac:dyDescent="0.25">
      <c r="C307" s="2367" t="s">
        <v>102</v>
      </c>
      <c r="D307" s="2370" t="s">
        <v>1033</v>
      </c>
      <c r="E307" s="2371"/>
      <c r="F307" s="2371"/>
      <c r="G307" s="2372"/>
    </row>
    <row r="308" spans="3:11" x14ac:dyDescent="0.25">
      <c r="C308" s="2368"/>
      <c r="D308" s="2373"/>
      <c r="E308" s="2374"/>
      <c r="F308" s="2374"/>
      <c r="G308" s="2375"/>
    </row>
    <row r="309" spans="3:11" ht="53.45" customHeight="1" thickBot="1" x14ac:dyDescent="0.3">
      <c r="C309" s="2369"/>
      <c r="D309" s="2376"/>
      <c r="E309" s="2377"/>
      <c r="F309" s="2377"/>
      <c r="G309" s="2378"/>
    </row>
    <row r="310" spans="3:11" ht="37.15" customHeight="1" thickBot="1" x14ac:dyDescent="0.3">
      <c r="C310" s="665" t="s">
        <v>604</v>
      </c>
      <c r="D310" s="2331" t="s">
        <v>603</v>
      </c>
      <c r="E310" s="2332"/>
      <c r="F310" s="2332"/>
      <c r="G310" s="2333"/>
    </row>
    <row r="311" spans="3:11" ht="43.15" customHeight="1" thickBot="1" x14ac:dyDescent="0.3">
      <c r="C311" s="663" t="s">
        <v>10</v>
      </c>
      <c r="D311" s="2331" t="s">
        <v>603</v>
      </c>
      <c r="E311" s="2332"/>
      <c r="F311" s="2332"/>
      <c r="G311" s="2333"/>
    </row>
    <row r="312" spans="3:11" ht="15.75" thickBot="1" x14ac:dyDescent="0.3">
      <c r="C312" s="663" t="s">
        <v>13</v>
      </c>
      <c r="D312" s="2334" t="s">
        <v>602</v>
      </c>
      <c r="E312" s="2335"/>
      <c r="F312" s="2335"/>
      <c r="G312" s="2336"/>
    </row>
    <row r="313" spans="3:11" ht="12.75" customHeight="1" x14ac:dyDescent="0.25">
      <c r="C313" s="2337"/>
      <c r="D313" s="657">
        <v>2018</v>
      </c>
      <c r="E313" s="657">
        <v>2019</v>
      </c>
      <c r="F313" s="657">
        <v>2020</v>
      </c>
      <c r="G313" s="657">
        <v>2021</v>
      </c>
    </row>
    <row r="314" spans="3:11" ht="22.15" customHeight="1" thickBot="1" x14ac:dyDescent="0.3">
      <c r="C314" s="2338"/>
      <c r="D314" s="656" t="s">
        <v>6</v>
      </c>
      <c r="E314" s="656" t="s">
        <v>7</v>
      </c>
      <c r="F314" s="656" t="s">
        <v>7</v>
      </c>
      <c r="G314" s="656" t="s">
        <v>7</v>
      </c>
    </row>
    <row r="315" spans="3:11" ht="15.75" thickBot="1" x14ac:dyDescent="0.3">
      <c r="C315" s="663" t="s">
        <v>9</v>
      </c>
      <c r="D315" s="671">
        <v>317</v>
      </c>
      <c r="E315" s="671">
        <v>537</v>
      </c>
      <c r="F315" s="671">
        <v>600</v>
      </c>
      <c r="G315" s="671">
        <v>640</v>
      </c>
    </row>
    <row r="316" spans="3:11" ht="15.75" thickBot="1" x14ac:dyDescent="0.3">
      <c r="C316" s="663" t="s">
        <v>14</v>
      </c>
      <c r="D316" s="669">
        <f>1097947+22811</f>
        <v>1120758</v>
      </c>
      <c r="E316" s="672">
        <v>1900000</v>
      </c>
      <c r="F316" s="672">
        <v>2125500</v>
      </c>
      <c r="G316" s="672">
        <v>2294000</v>
      </c>
    </row>
    <row r="317" spans="3:11" ht="15.75" thickBot="1" x14ac:dyDescent="0.3">
      <c r="C317" s="663" t="s">
        <v>23</v>
      </c>
      <c r="D317" s="669">
        <f>D316/D315</f>
        <v>3535.5141955835961</v>
      </c>
      <c r="E317" s="669">
        <f t="shared" ref="E317:G317" si="32">E316/E315</f>
        <v>3538.1750465549349</v>
      </c>
      <c r="F317" s="669">
        <f t="shared" si="32"/>
        <v>3542.5</v>
      </c>
      <c r="G317" s="669">
        <f t="shared" si="32"/>
        <v>3584.375</v>
      </c>
    </row>
    <row r="318" spans="3:11" ht="15.75" thickBot="1" x14ac:dyDescent="0.3">
      <c r="C318" s="663" t="s">
        <v>15</v>
      </c>
      <c r="D318" s="671"/>
      <c r="E318" s="670">
        <f t="shared" ref="E318:G320" si="33">E315/D315-1</f>
        <v>0.69400630914826489</v>
      </c>
      <c r="F318" s="670">
        <f t="shared" si="33"/>
        <v>0.11731843575418988</v>
      </c>
      <c r="G318" s="670">
        <f t="shared" si="33"/>
        <v>6.6666666666666652E-2</v>
      </c>
      <c r="K318" s="652"/>
    </row>
    <row r="319" spans="3:11" ht="15.75" thickBot="1" x14ac:dyDescent="0.3">
      <c r="C319" s="663" t="s">
        <v>16</v>
      </c>
      <c r="D319" s="671"/>
      <c r="E319" s="670">
        <f t="shared" si="33"/>
        <v>0.69528122931087721</v>
      </c>
      <c r="F319" s="670">
        <f t="shared" si="33"/>
        <v>0.11868421052631573</v>
      </c>
      <c r="G319" s="670">
        <f t="shared" si="33"/>
        <v>7.9275464596565426E-2</v>
      </c>
    </row>
    <row r="320" spans="3:11" ht="15.75" thickBot="1" x14ac:dyDescent="0.3">
      <c r="C320" s="663" t="s">
        <v>17</v>
      </c>
      <c r="D320" s="671"/>
      <c r="E320" s="670">
        <f t="shared" si="33"/>
        <v>7.5260650195163592E-4</v>
      </c>
      <c r="F320" s="670">
        <f t="shared" si="33"/>
        <v>1.2223684210526109E-3</v>
      </c>
      <c r="G320" s="670">
        <f t="shared" si="33"/>
        <v>1.1820748059280239E-2</v>
      </c>
    </row>
    <row r="321" spans="3:10" ht="19.149999999999999" customHeight="1" thickBot="1" x14ac:dyDescent="0.3">
      <c r="C321" s="2394" t="s">
        <v>601</v>
      </c>
      <c r="D321" s="2395"/>
      <c r="E321" s="2395"/>
      <c r="F321" s="2395"/>
      <c r="G321" s="2396"/>
    </row>
    <row r="322" spans="3:10" ht="12.75" customHeight="1" x14ac:dyDescent="0.25">
      <c r="C322" s="1146"/>
      <c r="D322" s="657">
        <v>2018</v>
      </c>
      <c r="E322" s="657">
        <v>2019</v>
      </c>
      <c r="F322" s="657">
        <v>2020</v>
      </c>
      <c r="G322" s="657">
        <v>2021</v>
      </c>
    </row>
    <row r="323" spans="3:10" ht="21" customHeight="1" thickBot="1" x14ac:dyDescent="0.3">
      <c r="C323" s="1147"/>
      <c r="D323" s="656" t="s">
        <v>6</v>
      </c>
      <c r="E323" s="656" t="s">
        <v>7</v>
      </c>
      <c r="F323" s="656" t="s">
        <v>7</v>
      </c>
      <c r="G323" s="656" t="s">
        <v>7</v>
      </c>
    </row>
    <row r="324" spans="3:10" ht="15.75" thickBot="1" x14ac:dyDescent="0.3">
      <c r="C324" s="641" t="s">
        <v>104</v>
      </c>
      <c r="D324" s="639">
        <v>0</v>
      </c>
      <c r="E324" s="655">
        <v>0</v>
      </c>
      <c r="F324" s="655">
        <v>0</v>
      </c>
      <c r="G324" s="655">
        <v>0</v>
      </c>
    </row>
    <row r="325" spans="3:10" ht="15.75" thickBot="1" x14ac:dyDescent="0.3">
      <c r="C325" s="641" t="s">
        <v>105</v>
      </c>
      <c r="D325" s="669">
        <f>D316</f>
        <v>1120758</v>
      </c>
      <c r="E325" s="669">
        <f>E316</f>
        <v>1900000</v>
      </c>
      <c r="F325" s="669">
        <f>F316</f>
        <v>2125500</v>
      </c>
      <c r="G325" s="669">
        <f>G316</f>
        <v>2294000</v>
      </c>
    </row>
    <row r="326" spans="3:10" ht="15.75" thickBot="1" x14ac:dyDescent="0.3">
      <c r="C326" s="641" t="s">
        <v>68</v>
      </c>
      <c r="D326" s="669">
        <f>SUM(D324:D325)</f>
        <v>1120758</v>
      </c>
      <c r="E326" s="669">
        <f>SUM(E324:E325)</f>
        <v>1900000</v>
      </c>
      <c r="F326" s="669">
        <f>SUM(F324:F325)</f>
        <v>2125500</v>
      </c>
      <c r="G326" s="669">
        <f>SUM(G324:G325)</f>
        <v>2294000</v>
      </c>
    </row>
    <row r="327" spans="3:10" ht="103.9" customHeight="1" thickBot="1" x14ac:dyDescent="0.3">
      <c r="C327" s="641" t="s">
        <v>102</v>
      </c>
      <c r="D327" s="2397" t="s">
        <v>600</v>
      </c>
      <c r="E327" s="2398"/>
      <c r="F327" s="2398"/>
      <c r="G327" s="2399"/>
    </row>
    <row r="328" spans="3:10" ht="15.75" thickBot="1" x14ac:dyDescent="0.3">
      <c r="C328" s="638" t="s">
        <v>70</v>
      </c>
      <c r="D328" s="637">
        <f>D326-D316</f>
        <v>0</v>
      </c>
      <c r="E328" s="637">
        <f>E326-E316</f>
        <v>0</v>
      </c>
      <c r="F328" s="637">
        <f>F326-F316</f>
        <v>0</v>
      </c>
      <c r="G328" s="637">
        <f>G326-G316</f>
        <v>0</v>
      </c>
    </row>
    <row r="329" spans="3:10" ht="15.75" thickBot="1" x14ac:dyDescent="0.3">
      <c r="C329" s="665" t="s">
        <v>599</v>
      </c>
      <c r="D329" s="2400" t="s">
        <v>598</v>
      </c>
      <c r="E329" s="2401"/>
      <c r="F329" s="2401"/>
      <c r="G329" s="2402"/>
    </row>
    <row r="330" spans="3:10" ht="17.25" customHeight="1" thickBot="1" x14ac:dyDescent="0.3">
      <c r="C330" s="663" t="s">
        <v>10</v>
      </c>
      <c r="D330" s="2400" t="s">
        <v>598</v>
      </c>
      <c r="E330" s="2401"/>
      <c r="F330" s="2401"/>
      <c r="G330" s="2402"/>
    </row>
    <row r="331" spans="3:10" ht="15.75" thickBot="1" x14ac:dyDescent="0.3">
      <c r="C331" s="663" t="s">
        <v>13</v>
      </c>
      <c r="D331" s="2400" t="s">
        <v>1039</v>
      </c>
      <c r="E331" s="2401"/>
      <c r="F331" s="2401"/>
      <c r="G331" s="2402"/>
    </row>
    <row r="332" spans="3:10" ht="12.75" customHeight="1" x14ac:dyDescent="0.25">
      <c r="C332" s="2337"/>
      <c r="D332" s="657">
        <v>2018</v>
      </c>
      <c r="E332" s="657">
        <v>2019</v>
      </c>
      <c r="F332" s="657">
        <v>2020</v>
      </c>
      <c r="G332" s="657">
        <v>2021</v>
      </c>
    </row>
    <row r="333" spans="3:10" ht="9" customHeight="1" thickBot="1" x14ac:dyDescent="0.3">
      <c r="C333" s="2338"/>
      <c r="D333" s="656" t="s">
        <v>6</v>
      </c>
      <c r="E333" s="656" t="s">
        <v>7</v>
      </c>
      <c r="F333" s="656" t="s">
        <v>7</v>
      </c>
      <c r="G333" s="656" t="s">
        <v>7</v>
      </c>
    </row>
    <row r="334" spans="3:10" ht="15.75" thickBot="1" x14ac:dyDescent="0.3">
      <c r="C334" s="663" t="s">
        <v>9</v>
      </c>
      <c r="D334" s="667">
        <v>200</v>
      </c>
      <c r="E334" s="667">
        <v>326</v>
      </c>
      <c r="F334" s="667">
        <v>520</v>
      </c>
      <c r="G334" s="667">
        <v>550</v>
      </c>
      <c r="H334" s="667">
        <v>163</v>
      </c>
      <c r="I334" s="667">
        <v>260</v>
      </c>
      <c r="J334" s="667">
        <v>163</v>
      </c>
    </row>
    <row r="335" spans="3:10" ht="15.75" thickBot="1" x14ac:dyDescent="0.3">
      <c r="C335" s="663" t="s">
        <v>14</v>
      </c>
      <c r="D335" s="668">
        <v>60000</v>
      </c>
      <c r="E335" s="668">
        <v>100000</v>
      </c>
      <c r="F335" s="668">
        <v>160000</v>
      </c>
      <c r="G335" s="668">
        <v>170000</v>
      </c>
      <c r="H335" s="668">
        <v>50000</v>
      </c>
      <c r="I335" s="668">
        <v>80000</v>
      </c>
      <c r="J335" s="668">
        <v>50000</v>
      </c>
    </row>
    <row r="336" spans="3:10" ht="15.75" thickBot="1" x14ac:dyDescent="0.3">
      <c r="C336" s="663" t="s">
        <v>23</v>
      </c>
      <c r="D336" s="668">
        <f>D335/D334</f>
        <v>300</v>
      </c>
      <c r="E336" s="668">
        <f>E335/E334</f>
        <v>306.74846625766872</v>
      </c>
      <c r="F336" s="668">
        <f>F335/F334</f>
        <v>307.69230769230768</v>
      </c>
      <c r="G336" s="668">
        <f>G335/G334</f>
        <v>309.09090909090907</v>
      </c>
      <c r="H336" s="617">
        <f>H334*2</f>
        <v>326</v>
      </c>
      <c r="I336" s="617">
        <f t="shared" ref="I336" si="34">I334*2</f>
        <v>520</v>
      </c>
      <c r="J336" s="617">
        <f>J334*3.4</f>
        <v>554.19999999999993</v>
      </c>
    </row>
    <row r="337" spans="3:11" ht="15.75" thickBot="1" x14ac:dyDescent="0.3">
      <c r="C337" s="663" t="s">
        <v>15</v>
      </c>
      <c r="D337" s="667"/>
      <c r="E337" s="666">
        <f t="shared" ref="E337:G339" si="35">E334/D334-1</f>
        <v>0.62999999999999989</v>
      </c>
      <c r="F337" s="666">
        <f t="shared" si="35"/>
        <v>0.5950920245398772</v>
      </c>
      <c r="G337" s="666">
        <f t="shared" si="35"/>
        <v>5.7692307692307709E-2</v>
      </c>
      <c r="H337" s="617">
        <f>H335*2</f>
        <v>100000</v>
      </c>
      <c r="I337" s="617">
        <f t="shared" ref="I337" si="36">I335*2</f>
        <v>160000</v>
      </c>
      <c r="J337" s="617">
        <f>J335*3.4</f>
        <v>170000</v>
      </c>
      <c r="K337" s="652"/>
    </row>
    <row r="338" spans="3:11" ht="15.75" thickBot="1" x14ac:dyDescent="0.3">
      <c r="C338" s="663" t="s">
        <v>16</v>
      </c>
      <c r="D338" s="667"/>
      <c r="E338" s="666">
        <f t="shared" si="35"/>
        <v>0.66666666666666674</v>
      </c>
      <c r="F338" s="666">
        <f t="shared" si="35"/>
        <v>0.60000000000000009</v>
      </c>
      <c r="G338" s="666">
        <f t="shared" si="35"/>
        <v>6.25E-2</v>
      </c>
    </row>
    <row r="339" spans="3:11" ht="15.75" thickBot="1" x14ac:dyDescent="0.3">
      <c r="C339" s="663" t="s">
        <v>17</v>
      </c>
      <c r="D339" s="667"/>
      <c r="E339" s="666">
        <f t="shared" si="35"/>
        <v>2.249488752556239E-2</v>
      </c>
      <c r="F339" s="666">
        <f t="shared" si="35"/>
        <v>3.0769230769229772E-3</v>
      </c>
      <c r="G339" s="666">
        <f t="shared" si="35"/>
        <v>4.5454545454544082E-3</v>
      </c>
    </row>
    <row r="340" spans="3:11" ht="20.45" customHeight="1" thickBot="1" x14ac:dyDescent="0.3">
      <c r="C340" s="2352" t="s">
        <v>596</v>
      </c>
      <c r="D340" s="2353"/>
      <c r="E340" s="2353"/>
      <c r="F340" s="2353"/>
      <c r="G340" s="2354"/>
    </row>
    <row r="341" spans="3:11" ht="9" customHeight="1" x14ac:dyDescent="0.25">
      <c r="C341" s="1146"/>
      <c r="D341" s="657">
        <v>2018</v>
      </c>
      <c r="E341" s="657">
        <v>2019</v>
      </c>
      <c r="F341" s="657">
        <v>2020</v>
      </c>
      <c r="G341" s="657">
        <v>2021</v>
      </c>
    </row>
    <row r="342" spans="3:11" ht="15.75" thickBot="1" x14ac:dyDescent="0.3">
      <c r="C342" s="1147"/>
      <c r="D342" s="656" t="s">
        <v>6</v>
      </c>
      <c r="E342" s="656" t="s">
        <v>7</v>
      </c>
      <c r="F342" s="656" t="s">
        <v>7</v>
      </c>
      <c r="G342" s="656" t="s">
        <v>7</v>
      </c>
    </row>
    <row r="343" spans="3:11" ht="15.75" thickBot="1" x14ac:dyDescent="0.3">
      <c r="C343" s="641" t="s">
        <v>104</v>
      </c>
      <c r="D343" s="639">
        <v>0</v>
      </c>
      <c r="E343" s="655">
        <v>0</v>
      </c>
      <c r="F343" s="655">
        <v>0</v>
      </c>
      <c r="G343" s="655">
        <v>0</v>
      </c>
    </row>
    <row r="344" spans="3:11" ht="16.5" thickBot="1" x14ac:dyDescent="0.3">
      <c r="C344" s="641" t="s">
        <v>105</v>
      </c>
      <c r="D344" s="635">
        <f>D335</f>
        <v>60000</v>
      </c>
      <c r="E344" s="635">
        <f>E335</f>
        <v>100000</v>
      </c>
      <c r="F344" s="635">
        <f>F335</f>
        <v>160000</v>
      </c>
      <c r="G344" s="635">
        <f>G335</f>
        <v>170000</v>
      </c>
    </row>
    <row r="345" spans="3:11" ht="15.75" thickBot="1" x14ac:dyDescent="0.3">
      <c r="C345" s="654" t="s">
        <v>68</v>
      </c>
      <c r="D345" s="653">
        <f>SUM(D343:D344)</f>
        <v>60000</v>
      </c>
      <c r="E345" s="653">
        <f>E335</f>
        <v>100000</v>
      </c>
      <c r="F345" s="653">
        <f>F335</f>
        <v>160000</v>
      </c>
      <c r="G345" s="653">
        <f>G335</f>
        <v>170000</v>
      </c>
    </row>
    <row r="346" spans="3:11" ht="21" customHeight="1" thickBot="1" x14ac:dyDescent="0.3">
      <c r="C346" s="641" t="s">
        <v>102</v>
      </c>
      <c r="D346" s="2385"/>
      <c r="E346" s="2386"/>
      <c r="F346" s="2386"/>
      <c r="G346" s="2387"/>
    </row>
    <row r="347" spans="3:11" ht="15.75" thickBot="1" x14ac:dyDescent="0.3">
      <c r="C347" s="638" t="s">
        <v>70</v>
      </c>
      <c r="D347" s="637">
        <f>D345-D335</f>
        <v>0</v>
      </c>
      <c r="E347" s="637">
        <f>E345-E335</f>
        <v>0</v>
      </c>
      <c r="F347" s="637">
        <f>F345-F335</f>
        <v>0</v>
      </c>
      <c r="G347" s="637">
        <f>G345-G335</f>
        <v>0</v>
      </c>
    </row>
    <row r="348" spans="3:11" ht="15.75" thickBot="1" x14ac:dyDescent="0.3">
      <c r="C348" s="665" t="s">
        <v>595</v>
      </c>
      <c r="D348" s="2388" t="s">
        <v>594</v>
      </c>
      <c r="E348" s="2389"/>
      <c r="F348" s="2389"/>
      <c r="G348" s="2390"/>
    </row>
    <row r="349" spans="3:11" ht="17.25" customHeight="1" thickBot="1" x14ac:dyDescent="0.3">
      <c r="C349" s="663" t="s">
        <v>10</v>
      </c>
      <c r="D349" s="2388" t="s">
        <v>594</v>
      </c>
      <c r="E349" s="2389"/>
      <c r="F349" s="2389"/>
      <c r="G349" s="2390"/>
    </row>
    <row r="350" spans="3:11" ht="15.75" thickBot="1" x14ac:dyDescent="0.3">
      <c r="C350" s="663" t="s">
        <v>13</v>
      </c>
      <c r="D350" s="2391" t="s">
        <v>593</v>
      </c>
      <c r="E350" s="2392"/>
      <c r="F350" s="2392"/>
      <c r="G350" s="2393"/>
    </row>
    <row r="351" spans="3:11" ht="12.75" customHeight="1" x14ac:dyDescent="0.25">
      <c r="C351" s="2337"/>
      <c r="D351" s="657">
        <v>2018</v>
      </c>
      <c r="E351" s="657">
        <v>2019</v>
      </c>
      <c r="F351" s="657">
        <v>2020</v>
      </c>
      <c r="G351" s="657">
        <v>2021</v>
      </c>
    </row>
    <row r="352" spans="3:11" ht="12.6" customHeight="1" thickBot="1" x14ac:dyDescent="0.3">
      <c r="C352" s="2338"/>
      <c r="D352" s="656" t="s">
        <v>6</v>
      </c>
      <c r="E352" s="656" t="s">
        <v>7</v>
      </c>
      <c r="F352" s="656" t="s">
        <v>7</v>
      </c>
      <c r="G352" s="656" t="s">
        <v>7</v>
      </c>
    </row>
    <row r="353" spans="3:11" ht="16.5" thickBot="1" x14ac:dyDescent="0.3">
      <c r="C353" s="663" t="s">
        <v>9</v>
      </c>
      <c r="D353" s="635">
        <v>30000</v>
      </c>
      <c r="E353" s="635">
        <v>30000</v>
      </c>
      <c r="F353" s="635">
        <v>30000</v>
      </c>
      <c r="G353" s="635">
        <v>30000</v>
      </c>
    </row>
    <row r="354" spans="3:11" ht="16.5" thickBot="1" x14ac:dyDescent="0.3">
      <c r="C354" s="663" t="s">
        <v>14</v>
      </c>
      <c r="D354" s="635">
        <v>10000</v>
      </c>
      <c r="E354" s="635">
        <v>10000</v>
      </c>
      <c r="F354" s="635">
        <v>10000</v>
      </c>
      <c r="G354" s="635">
        <v>10000</v>
      </c>
    </row>
    <row r="355" spans="3:11" ht="16.5" thickBot="1" x14ac:dyDescent="0.3">
      <c r="C355" s="663" t="s">
        <v>23</v>
      </c>
      <c r="D355" s="664">
        <v>0.33</v>
      </c>
      <c r="E355" s="664">
        <v>0.33</v>
      </c>
      <c r="F355" s="664">
        <v>0.33</v>
      </c>
      <c r="G355" s="664">
        <v>0.33</v>
      </c>
    </row>
    <row r="356" spans="3:11" ht="15.75" thickBot="1" x14ac:dyDescent="0.3">
      <c r="C356" s="663" t="s">
        <v>15</v>
      </c>
      <c r="D356" s="662"/>
      <c r="E356" s="661">
        <f t="shared" ref="E356:G358" si="37">E353/D353-1</f>
        <v>0</v>
      </c>
      <c r="F356" s="661">
        <f t="shared" si="37"/>
        <v>0</v>
      </c>
      <c r="G356" s="661">
        <f t="shared" si="37"/>
        <v>0</v>
      </c>
      <c r="I356" s="652"/>
      <c r="J356" s="652"/>
      <c r="K356" s="652"/>
    </row>
    <row r="357" spans="3:11" ht="15.75" thickBot="1" x14ac:dyDescent="0.3">
      <c r="C357" s="663" t="s">
        <v>16</v>
      </c>
      <c r="D357" s="662"/>
      <c r="E357" s="661">
        <f t="shared" si="37"/>
        <v>0</v>
      </c>
      <c r="F357" s="661">
        <f t="shared" si="37"/>
        <v>0</v>
      </c>
      <c r="G357" s="661">
        <f t="shared" si="37"/>
        <v>0</v>
      </c>
    </row>
    <row r="358" spans="3:11" ht="15.75" thickBot="1" x14ac:dyDescent="0.3">
      <c r="C358" s="663" t="s">
        <v>17</v>
      </c>
      <c r="D358" s="662"/>
      <c r="E358" s="661">
        <f t="shared" si="37"/>
        <v>0</v>
      </c>
      <c r="F358" s="661">
        <f t="shared" si="37"/>
        <v>0</v>
      </c>
      <c r="G358" s="661">
        <f t="shared" si="37"/>
        <v>0</v>
      </c>
    </row>
    <row r="359" spans="3:11" ht="25.9" customHeight="1" thickBot="1" x14ac:dyDescent="0.3">
      <c r="C359" s="660" t="s">
        <v>592</v>
      </c>
      <c r="D359" s="659"/>
      <c r="E359" s="659"/>
      <c r="F359" s="659"/>
      <c r="G359" s="658"/>
    </row>
    <row r="360" spans="3:11" ht="12.75" customHeight="1" x14ac:dyDescent="0.25">
      <c r="C360" s="1146"/>
      <c r="D360" s="657">
        <v>2018</v>
      </c>
      <c r="E360" s="657">
        <v>2019</v>
      </c>
      <c r="F360" s="657">
        <v>2020</v>
      </c>
      <c r="G360" s="657">
        <v>2021</v>
      </c>
    </row>
    <row r="361" spans="3:11" ht="9" customHeight="1" thickBot="1" x14ac:dyDescent="0.3">
      <c r="C361" s="1147"/>
      <c r="D361" s="656" t="s">
        <v>6</v>
      </c>
      <c r="E361" s="656" t="s">
        <v>7</v>
      </c>
      <c r="F361" s="656" t="s">
        <v>7</v>
      </c>
      <c r="G361" s="656" t="s">
        <v>7</v>
      </c>
    </row>
    <row r="362" spans="3:11" ht="15.75" thickBot="1" x14ac:dyDescent="0.3">
      <c r="C362" s="641" t="s">
        <v>104</v>
      </c>
      <c r="D362" s="639">
        <v>0</v>
      </c>
      <c r="E362" s="655">
        <v>0</v>
      </c>
      <c r="F362" s="655">
        <v>0</v>
      </c>
      <c r="G362" s="655">
        <v>0</v>
      </c>
    </row>
    <row r="363" spans="3:11" ht="16.5" thickBot="1" x14ac:dyDescent="0.3">
      <c r="C363" s="641" t="s">
        <v>105</v>
      </c>
      <c r="D363" s="635">
        <f>D354</f>
        <v>10000</v>
      </c>
      <c r="E363" s="635">
        <f>E354</f>
        <v>10000</v>
      </c>
      <c r="F363" s="635">
        <f>F354</f>
        <v>10000</v>
      </c>
      <c r="G363" s="635">
        <f>G354</f>
        <v>10000</v>
      </c>
    </row>
    <row r="364" spans="3:11" ht="15.75" thickBot="1" x14ac:dyDescent="0.3">
      <c r="C364" s="654" t="s">
        <v>68</v>
      </c>
      <c r="D364" s="1458">
        <f>SUM(D362:D363)</f>
        <v>10000</v>
      </c>
      <c r="E364" s="1458">
        <f>E354</f>
        <v>10000</v>
      </c>
      <c r="F364" s="1458">
        <f>F354</f>
        <v>10000</v>
      </c>
      <c r="G364" s="1458">
        <f>G354</f>
        <v>10000</v>
      </c>
    </row>
    <row r="365" spans="3:11" ht="40.9" customHeight="1" thickBot="1" x14ac:dyDescent="0.3">
      <c r="C365" s="641" t="s">
        <v>102</v>
      </c>
      <c r="D365" s="2385"/>
      <c r="E365" s="2386"/>
      <c r="F365" s="2386"/>
      <c r="G365" s="2387"/>
      <c r="H365" s="652"/>
      <c r="I365" s="652"/>
      <c r="J365" s="652"/>
      <c r="K365" s="652"/>
    </row>
    <row r="366" spans="3:11" ht="21" customHeight="1" thickBot="1" x14ac:dyDescent="0.3">
      <c r="C366" s="638" t="s">
        <v>70</v>
      </c>
      <c r="D366" s="637">
        <f>D364-D354</f>
        <v>0</v>
      </c>
      <c r="E366" s="637">
        <f>E364-E354</f>
        <v>0</v>
      </c>
      <c r="F366" s="637">
        <f>F364-F354</f>
        <v>0</v>
      </c>
      <c r="G366" s="637">
        <f>G364-G354</f>
        <v>0</v>
      </c>
      <c r="H366" s="239"/>
      <c r="I366" s="2413"/>
      <c r="J366" s="2414"/>
      <c r="K366" s="2415"/>
    </row>
    <row r="367" spans="3:11" ht="15.75" thickBot="1" x14ac:dyDescent="0.3">
      <c r="C367" s="651"/>
      <c r="D367" s="650"/>
      <c r="E367" s="650"/>
      <c r="F367" s="650"/>
      <c r="G367" s="650"/>
      <c r="H367" s="240"/>
      <c r="I367" s="241"/>
      <c r="J367" s="241"/>
      <c r="K367" s="241"/>
    </row>
    <row r="368" spans="3:11" ht="27" customHeight="1" thickBot="1" x14ac:dyDescent="0.3">
      <c r="C368" s="649" t="s">
        <v>116</v>
      </c>
      <c r="D368" s="648">
        <f>D40+D75+D98+D128+D161+D184+D217+D251+D276+D296+D316+D335+D354</f>
        <v>22174527</v>
      </c>
      <c r="E368" s="648">
        <f t="shared" ref="E368:G368" si="38">E40+E75+E98+E128+E161+E184+E217+E251+E276+E296+E316+E335+E354</f>
        <v>26017026.600000001</v>
      </c>
      <c r="F368" s="648">
        <f t="shared" si="38"/>
        <v>29273716.688000001</v>
      </c>
      <c r="G368" s="648">
        <f t="shared" si="38"/>
        <v>32536203.93248</v>
      </c>
      <c r="H368" s="254"/>
      <c r="I368" s="251"/>
      <c r="J368" s="255"/>
      <c r="K368" s="255"/>
    </row>
    <row r="369" spans="3:11" ht="15.75" thickBot="1" x14ac:dyDescent="0.3">
      <c r="C369" s="649" t="s">
        <v>117</v>
      </c>
      <c r="D369" s="648">
        <f>D55+D90+D113+D143+D176+D199+D232+D266+D286+D306+D326+D345+D364</f>
        <v>22174527</v>
      </c>
      <c r="E369" s="648">
        <f t="shared" ref="E369:G369" si="39">E55+E90+E113+E143+E176+E199+E232+E266+E286+E306+E326+E345+E364</f>
        <v>26017026.600000001</v>
      </c>
      <c r="F369" s="648">
        <f t="shared" si="39"/>
        <v>29273716.688000001</v>
      </c>
      <c r="G369" s="648">
        <f t="shared" si="39"/>
        <v>32536203.93248</v>
      </c>
      <c r="H369" s="251"/>
      <c r="I369" s="251"/>
      <c r="J369" s="251"/>
      <c r="K369" s="251"/>
    </row>
    <row r="370" spans="3:11" ht="16.899999999999999" customHeight="1" thickBot="1" x14ac:dyDescent="0.3">
      <c r="C370" s="647" t="s">
        <v>24</v>
      </c>
      <c r="D370" s="646"/>
      <c r="E370" s="313">
        <f>E369/D369-1</f>
        <v>0.17328439970782705</v>
      </c>
      <c r="F370" s="313">
        <f>F369/E369-1</f>
        <v>0.12517533759987765</v>
      </c>
      <c r="G370" s="313">
        <f>G369/F369-1</f>
        <v>0.11144766068660394</v>
      </c>
      <c r="H370" s="256"/>
      <c r="I370" s="256"/>
      <c r="J370" s="244"/>
      <c r="K370" s="244"/>
    </row>
    <row r="371" spans="3:11" ht="16.5" thickBot="1" x14ac:dyDescent="0.3">
      <c r="C371" s="641" t="s">
        <v>0</v>
      </c>
      <c r="D371" s="635">
        <f>D48+D83+D106+D136+D169+D192+D225+D259</f>
        <v>16502918</v>
      </c>
      <c r="E371" s="635">
        <f>E48+E83+E106+E136+E169+E192+E225+E259</f>
        <v>18483645</v>
      </c>
      <c r="F371" s="635">
        <f>F48+F83+F106+F136+F169+F192+F225+F259</f>
        <v>20690859</v>
      </c>
      <c r="G371" s="635">
        <f>G48+G83+G106+G136+G169+G192+G225+G259</f>
        <v>23162940</v>
      </c>
      <c r="H371" s="255"/>
      <c r="I371" s="255"/>
      <c r="J371" s="246"/>
      <c r="K371" s="246"/>
    </row>
    <row r="372" spans="3:11" ht="15.75" thickBot="1" x14ac:dyDescent="0.3">
      <c r="C372" s="640" t="s">
        <v>25</v>
      </c>
      <c r="D372" s="639"/>
      <c r="E372" s="313">
        <f>E371/D371-1</f>
        <v>0.12002283474958797</v>
      </c>
      <c r="F372" s="313">
        <f>F371/E371-1</f>
        <v>0.11941443367907145</v>
      </c>
      <c r="G372" s="313">
        <f>G371/F371-1</f>
        <v>0.11947696323289425</v>
      </c>
      <c r="H372" s="245"/>
      <c r="I372" s="245"/>
      <c r="J372" s="246"/>
      <c r="K372" s="246"/>
    </row>
    <row r="373" spans="3:11" ht="16.5" thickBot="1" x14ac:dyDescent="0.3">
      <c r="C373" s="641" t="s">
        <v>49</v>
      </c>
      <c r="D373" s="635">
        <f>D49+D84+D107+D137+D170+D193+D226+D260</f>
        <v>2659862</v>
      </c>
      <c r="E373" s="635">
        <f>E49+E84+E107+E137+E170+E193+E226+E260</f>
        <v>2987937</v>
      </c>
      <c r="F373" s="635">
        <f>F49+F84+F107+F137+F170+F193+F226+F260</f>
        <v>3344736</v>
      </c>
      <c r="G373" s="635">
        <f>G49+G84+G107+G137+G170+G193+G226+G260</f>
        <v>3744351</v>
      </c>
      <c r="H373" s="247"/>
      <c r="I373" s="247"/>
      <c r="J373" s="244"/>
      <c r="K373" s="244"/>
    </row>
    <row r="374" spans="3:11" ht="15.75" thickBot="1" x14ac:dyDescent="0.3">
      <c r="C374" s="640" t="s">
        <v>50</v>
      </c>
      <c r="D374" s="639"/>
      <c r="E374" s="313">
        <f>E373/D373-1</f>
        <v>0.12334286515616233</v>
      </c>
      <c r="F374" s="313">
        <f>F373/E373-1</f>
        <v>0.11941316031763716</v>
      </c>
      <c r="G374" s="313">
        <f>G373/F373-1</f>
        <v>0.11947579719296231</v>
      </c>
      <c r="H374" s="645"/>
      <c r="I374" s="645"/>
      <c r="J374" s="645"/>
      <c r="K374" s="645"/>
    </row>
    <row r="375" spans="3:11" ht="16.5" thickBot="1" x14ac:dyDescent="0.3">
      <c r="C375" s="641" t="s">
        <v>1</v>
      </c>
      <c r="D375" s="635">
        <f>D50+D85+D108+D138+D171+D194+D227+D261</f>
        <v>708800</v>
      </c>
      <c r="E375" s="635">
        <f>E50+E85+E108+E138+E171+E194+E227+E261</f>
        <v>1120444.6000000001</v>
      </c>
      <c r="F375" s="635">
        <f>F50+F85+F108+F138+F171+F194+F227+F261</f>
        <v>1397621.6880000001</v>
      </c>
      <c r="G375" s="635">
        <f>G50+G85+G108+G138+G171+G194+G227+G261</f>
        <v>1419912.93248</v>
      </c>
      <c r="H375" s="645"/>
      <c r="I375" s="645"/>
      <c r="J375" s="645"/>
      <c r="K375" s="645"/>
    </row>
    <row r="376" spans="3:11" ht="15.75" thickBot="1" x14ac:dyDescent="0.3">
      <c r="C376" s="640" t="s">
        <v>26</v>
      </c>
      <c r="D376" s="639"/>
      <c r="E376" s="313">
        <f>E375/D375-1</f>
        <v>0.58076269751693022</v>
      </c>
      <c r="F376" s="313">
        <f>F375/E375-1</f>
        <v>0.2473813412996948</v>
      </c>
      <c r="G376" s="313">
        <f>G375/F375-1</f>
        <v>1.5949412256115458E-2</v>
      </c>
      <c r="H376" s="644"/>
      <c r="I376" s="644"/>
      <c r="J376" s="644"/>
      <c r="K376" s="644"/>
    </row>
    <row r="377" spans="3:11" ht="16.5" thickBot="1" x14ac:dyDescent="0.3">
      <c r="C377" s="641" t="s">
        <v>2</v>
      </c>
      <c r="D377" s="635">
        <f>D51+D86+D109+D139++D172+D195+D228+D262</f>
        <v>0</v>
      </c>
      <c r="E377" s="635">
        <f>E51+E86+E109+E139++E172+E195+E228+E262</f>
        <v>0</v>
      </c>
      <c r="F377" s="635">
        <f>F51+F86+F109+F139++F172+F195+F228+F262</f>
        <v>0</v>
      </c>
      <c r="G377" s="635">
        <f>G51+G86+G109+G139++G172+G195+G228+G262</f>
        <v>0</v>
      </c>
      <c r="H377" s="643"/>
      <c r="I377" s="643"/>
      <c r="J377" s="643"/>
      <c r="K377" s="643"/>
    </row>
    <row r="378" spans="3:11" ht="15.75" thickBot="1" x14ac:dyDescent="0.3">
      <c r="C378" s="640" t="s">
        <v>27</v>
      </c>
      <c r="D378" s="639"/>
      <c r="E378" s="313">
        <v>0</v>
      </c>
      <c r="F378" s="313">
        <v>0</v>
      </c>
      <c r="G378" s="313">
        <v>0</v>
      </c>
      <c r="H378" s="643"/>
      <c r="I378" s="643"/>
      <c r="J378" s="643"/>
      <c r="K378" s="643"/>
    </row>
    <row r="379" spans="3:11" ht="16.5" thickBot="1" x14ac:dyDescent="0.3">
      <c r="C379" s="641" t="s">
        <v>28</v>
      </c>
      <c r="D379" s="635">
        <f>D52+D87+D110+D140+D173+D196+D229+D263</f>
        <v>0</v>
      </c>
      <c r="E379" s="635">
        <f>E52+E87+E110+E140+E173+E196+E229+E263</f>
        <v>0</v>
      </c>
      <c r="F379" s="635">
        <f>F52+F87+F110+F140+F173+F196+F229+F263</f>
        <v>0</v>
      </c>
      <c r="G379" s="635">
        <f>G52+G87+G110+G140+G173+G196+G229+G263</f>
        <v>0</v>
      </c>
      <c r="H379" s="642"/>
      <c r="I379" s="642"/>
      <c r="J379" s="642"/>
    </row>
    <row r="380" spans="3:11" ht="15.75" thickBot="1" x14ac:dyDescent="0.3">
      <c r="C380" s="640" t="s">
        <v>29</v>
      </c>
      <c r="D380" s="639"/>
      <c r="E380" s="313">
        <v>0</v>
      </c>
      <c r="F380" s="313">
        <v>0</v>
      </c>
      <c r="G380" s="313">
        <v>0</v>
      </c>
      <c r="I380" s="652"/>
      <c r="J380" s="652"/>
      <c r="K380" s="652"/>
    </row>
    <row r="381" spans="3:11" ht="16.5" thickBot="1" x14ac:dyDescent="0.3">
      <c r="C381" s="641" t="s">
        <v>30</v>
      </c>
      <c r="D381" s="635">
        <f>D53+D88+D111+D141+D174+D197+D230+D264</f>
        <v>0</v>
      </c>
      <c r="E381" s="635">
        <f>E53+E88+E111+E141+E174+E197+E230+E264</f>
        <v>0</v>
      </c>
      <c r="F381" s="635">
        <f>F53+F88+F111+F141+F174+F197+F230+F264</f>
        <v>0</v>
      </c>
      <c r="G381" s="635">
        <f>G53+G88+G111+G141+G174+G197+G230+G264</f>
        <v>0</v>
      </c>
    </row>
    <row r="382" spans="3:11" ht="15.75" thickBot="1" x14ac:dyDescent="0.3">
      <c r="C382" s="640" t="s">
        <v>31</v>
      </c>
      <c r="D382" s="639"/>
      <c r="E382" s="313">
        <v>0</v>
      </c>
      <c r="F382" s="313">
        <v>0</v>
      </c>
      <c r="G382" s="313">
        <v>0</v>
      </c>
    </row>
    <row r="383" spans="3:11" ht="16.5" thickBot="1" x14ac:dyDescent="0.3">
      <c r="C383" s="641" t="s">
        <v>3</v>
      </c>
      <c r="D383" s="635">
        <f>D54+D89+D112+D142+D175+D198+D231+D265</f>
        <v>545000</v>
      </c>
      <c r="E383" s="635">
        <f>E54+E89+E112+E142+E175+E198+E231+E265</f>
        <v>585000</v>
      </c>
      <c r="F383" s="635">
        <f>F54+F89+F112+F142+F175+F198+F231+F265</f>
        <v>615000</v>
      </c>
      <c r="G383" s="635">
        <f>G54+G89+G112+G142+G175+G198+G231+G265</f>
        <v>705000</v>
      </c>
    </row>
    <row r="384" spans="3:11" ht="15.75" thickBot="1" x14ac:dyDescent="0.3">
      <c r="C384" s="640" t="s">
        <v>32</v>
      </c>
      <c r="D384" s="639"/>
      <c r="E384" s="313">
        <f>E383/D383-1</f>
        <v>7.3394495412844041E-2</v>
      </c>
      <c r="F384" s="313">
        <f>F383/E383-1</f>
        <v>5.1282051282051322E-2</v>
      </c>
      <c r="G384" s="313">
        <f>G383/F383-1</f>
        <v>0.14634146341463405</v>
      </c>
    </row>
    <row r="385" spans="1:9" ht="16.5" thickBot="1" x14ac:dyDescent="0.3">
      <c r="C385" s="641" t="s">
        <v>18</v>
      </c>
      <c r="D385" s="635">
        <f>D284+D304+D324+D343+D362</f>
        <v>0</v>
      </c>
      <c r="E385" s="635">
        <f>E284+E304+E324+E343+E362</f>
        <v>0</v>
      </c>
      <c r="F385" s="635">
        <f>F284+F304+F324+F343+F362</f>
        <v>0</v>
      </c>
      <c r="G385" s="635">
        <f>G284+G304+G324+G343+G362</f>
        <v>0</v>
      </c>
    </row>
    <row r="386" spans="1:9" ht="15.75" thickBot="1" x14ac:dyDescent="0.3">
      <c r="C386" s="640" t="s">
        <v>33</v>
      </c>
      <c r="D386" s="639"/>
      <c r="E386" s="313">
        <v>0</v>
      </c>
      <c r="F386" s="313">
        <v>0</v>
      </c>
      <c r="G386" s="313">
        <v>0</v>
      </c>
    </row>
    <row r="387" spans="1:9" ht="16.5" thickBot="1" x14ac:dyDescent="0.3">
      <c r="C387" s="641" t="s">
        <v>19</v>
      </c>
      <c r="D387" s="635">
        <f>D285+D305+D325+D344+D363</f>
        <v>1757947</v>
      </c>
      <c r="E387" s="635">
        <f>E285+E305+E325+E344+E363</f>
        <v>2840000</v>
      </c>
      <c r="F387" s="635">
        <f>F285+F305+F325+F344+F363</f>
        <v>3225500</v>
      </c>
      <c r="G387" s="635">
        <f>G285+G305+G325+G344+G363</f>
        <v>3504000</v>
      </c>
    </row>
    <row r="388" spans="1:9" ht="15.75" thickBot="1" x14ac:dyDescent="0.3">
      <c r="C388" s="640" t="s">
        <v>34</v>
      </c>
      <c r="D388" s="639"/>
      <c r="E388" s="313">
        <f>E387/D387-1</f>
        <v>0.61552083197047458</v>
      </c>
      <c r="F388" s="313">
        <f>F387/E387-1</f>
        <v>0.13573943661971821</v>
      </c>
      <c r="G388" s="313">
        <f>G387/F387-1</f>
        <v>8.6343202604247438E-2</v>
      </c>
    </row>
    <row r="389" spans="1:9" ht="15.75" thickBot="1" x14ac:dyDescent="0.3">
      <c r="C389" s="638" t="s">
        <v>70</v>
      </c>
      <c r="D389" s="637">
        <f>D371+D373+D375+D377+D383+D385+D387</f>
        <v>22174527</v>
      </c>
      <c r="E389" s="637">
        <f>E371+E373+E375+E377+E383+E385+E387</f>
        <v>26017026.600000001</v>
      </c>
      <c r="F389" s="637">
        <f>F371+F373+F375+F377+F383+F385+F387</f>
        <v>29273716.688000001</v>
      </c>
      <c r="G389" s="637">
        <f>G371+G373+G375+G377+G383+G385+G387</f>
        <v>32536203.93248</v>
      </c>
    </row>
    <row r="390" spans="1:9" ht="16.5" thickBot="1" x14ac:dyDescent="0.3">
      <c r="C390" s="636" t="s">
        <v>55</v>
      </c>
      <c r="D390" s="635">
        <v>23660</v>
      </c>
      <c r="E390" s="635">
        <v>23660</v>
      </c>
      <c r="F390" s="635">
        <v>23660</v>
      </c>
      <c r="G390" s="635">
        <v>23660</v>
      </c>
    </row>
    <row r="391" spans="1:9" ht="24.75" thickBot="1" x14ac:dyDescent="0.3">
      <c r="C391" s="636" t="s">
        <v>591</v>
      </c>
      <c r="D391" s="635">
        <v>1200</v>
      </c>
      <c r="E391" s="635">
        <v>1200</v>
      </c>
      <c r="F391" s="635">
        <v>1200</v>
      </c>
      <c r="G391" s="635">
        <v>1200</v>
      </c>
    </row>
    <row r="392" spans="1:9" ht="15.75" thickBot="1" x14ac:dyDescent="0.3">
      <c r="C392" s="634"/>
      <c r="D392" s="633">
        <f>D389-'Formati 2.1 Arsimi Baze'!D383</f>
        <v>22174527</v>
      </c>
      <c r="E392" s="633">
        <f>E389-'Formati 2.1 Arsimi Baze'!E383</f>
        <v>26017026.600000001</v>
      </c>
      <c r="F392" s="633">
        <f>F389-'Formati 2.1 Arsimi Baze'!F383</f>
        <v>29273716.688000001</v>
      </c>
      <c r="G392" s="633">
        <f>G389-'Formati 2.1 Arsimi Baze'!G383</f>
        <v>32536203.93248</v>
      </c>
    </row>
    <row r="393" spans="1:9" ht="15" customHeight="1" x14ac:dyDescent="0.25">
      <c r="A393" s="2416" t="s">
        <v>122</v>
      </c>
      <c r="B393" s="632" t="s">
        <v>80</v>
      </c>
      <c r="C393" s="631"/>
      <c r="D393" s="2416" t="s">
        <v>83</v>
      </c>
      <c r="E393" s="632" t="s">
        <v>80</v>
      </c>
      <c r="F393" s="631"/>
      <c r="G393" s="2416" t="s">
        <v>118</v>
      </c>
      <c r="H393" s="632" t="s">
        <v>80</v>
      </c>
      <c r="I393" s="631"/>
    </row>
    <row r="394" spans="1:9" x14ac:dyDescent="0.25">
      <c r="A394" s="2417"/>
      <c r="B394" s="630" t="s">
        <v>81</v>
      </c>
      <c r="C394" s="629"/>
      <c r="D394" s="2417"/>
      <c r="E394" s="630" t="s">
        <v>81</v>
      </c>
      <c r="F394" s="629"/>
      <c r="G394" s="2417"/>
      <c r="H394" s="630" t="s">
        <v>81</v>
      </c>
      <c r="I394" s="629"/>
    </row>
    <row r="395" spans="1:9" ht="19.5" customHeight="1" thickBot="1" x14ac:dyDescent="0.3">
      <c r="A395" s="2418"/>
      <c r="B395" s="628" t="s">
        <v>82</v>
      </c>
      <c r="C395" s="627"/>
      <c r="D395" s="2418"/>
      <c r="E395" s="628" t="s">
        <v>82</v>
      </c>
      <c r="F395" s="627"/>
      <c r="G395" s="2418"/>
      <c r="H395" s="628" t="s">
        <v>82</v>
      </c>
      <c r="I395" s="627"/>
    </row>
    <row r="396" spans="1:9" ht="15.75" thickBot="1" x14ac:dyDescent="0.3">
      <c r="A396" s="624"/>
      <c r="B396" s="623"/>
      <c r="C396" s="623"/>
      <c r="D396" s="625"/>
      <c r="E396" s="1508">
        <v>3952026.5850146897</v>
      </c>
      <c r="F396" s="1509">
        <v>6336716.6656749211</v>
      </c>
      <c r="G396" s="1509">
        <v>9899203.8848075569</v>
      </c>
    </row>
    <row r="397" spans="1:9" ht="15.75" thickBot="1" x14ac:dyDescent="0.3">
      <c r="A397" s="624"/>
      <c r="B397" s="623"/>
      <c r="C397" s="626" t="s">
        <v>86</v>
      </c>
      <c r="D397" s="625"/>
      <c r="E397" s="624"/>
      <c r="F397" s="623"/>
      <c r="G397" s="623"/>
    </row>
    <row r="398" spans="1:9" s="618" customFormat="1" ht="25.9" customHeight="1" x14ac:dyDescent="0.25">
      <c r="A398" s="622"/>
      <c r="B398" s="621"/>
      <c r="C398" s="2419" t="s">
        <v>123</v>
      </c>
      <c r="D398" s="2420"/>
      <c r="E398" s="2420"/>
      <c r="F398" s="2420"/>
      <c r="G398" s="2421"/>
    </row>
    <row r="399" spans="1:9" s="618" customFormat="1" ht="24" customHeight="1" x14ac:dyDescent="0.25">
      <c r="A399" s="622"/>
      <c r="B399" s="621"/>
      <c r="C399" s="2403" t="s">
        <v>124</v>
      </c>
      <c r="D399" s="2404"/>
      <c r="E399" s="2404"/>
      <c r="F399" s="2404"/>
      <c r="G399" s="2405"/>
    </row>
    <row r="400" spans="1:9" s="618" customFormat="1" ht="19.149999999999999" customHeight="1" x14ac:dyDescent="0.25">
      <c r="C400" s="2406" t="s">
        <v>125</v>
      </c>
      <c r="D400" s="2407"/>
      <c r="E400" s="2407"/>
      <c r="F400" s="2407"/>
      <c r="G400" s="2408"/>
      <c r="H400" s="620"/>
    </row>
    <row r="401" spans="3:8" s="618" customFormat="1" ht="19.149999999999999" customHeight="1" x14ac:dyDescent="0.25">
      <c r="C401" s="2406" t="s">
        <v>126</v>
      </c>
      <c r="D401" s="2407"/>
      <c r="E401" s="2407"/>
      <c r="F401" s="2407"/>
      <c r="G401" s="2408"/>
      <c r="H401" s="620"/>
    </row>
    <row r="402" spans="3:8" s="618" customFormat="1" ht="24.6" customHeight="1" x14ac:dyDescent="0.25">
      <c r="C402" s="2406" t="s">
        <v>115</v>
      </c>
      <c r="D402" s="2407"/>
      <c r="E402" s="2407"/>
      <c r="F402" s="2407"/>
      <c r="G402" s="2408"/>
      <c r="H402" s="619"/>
    </row>
    <row r="403" spans="3:8" s="618" customFormat="1" ht="19.149999999999999" customHeight="1" x14ac:dyDescent="0.25">
      <c r="C403" s="2409" t="s">
        <v>590</v>
      </c>
      <c r="D403" s="2407"/>
      <c r="E403" s="2407"/>
      <c r="F403" s="2407"/>
      <c r="G403" s="2408"/>
    </row>
    <row r="404" spans="3:8" s="618" customFormat="1" ht="28.9" customHeight="1" thickBot="1" x14ac:dyDescent="0.3">
      <c r="C404" s="2410" t="s">
        <v>79</v>
      </c>
      <c r="D404" s="2411"/>
      <c r="E404" s="2411"/>
      <c r="F404" s="2411"/>
      <c r="G404" s="2412"/>
    </row>
  </sheetData>
  <mergeCells count="115">
    <mergeCell ref="C399:G399"/>
    <mergeCell ref="C400:G400"/>
    <mergeCell ref="C401:G401"/>
    <mergeCell ref="C402:G402"/>
    <mergeCell ref="C403:G403"/>
    <mergeCell ref="C404:G404"/>
    <mergeCell ref="D365:G365"/>
    <mergeCell ref="I366:K366"/>
    <mergeCell ref="A393:A395"/>
    <mergeCell ref="D393:D395"/>
    <mergeCell ref="G393:G395"/>
    <mergeCell ref="C398:G398"/>
    <mergeCell ref="C340:G340"/>
    <mergeCell ref="D346:G346"/>
    <mergeCell ref="D348:G348"/>
    <mergeCell ref="D349:G349"/>
    <mergeCell ref="D350:G350"/>
    <mergeCell ref="C351:C352"/>
    <mergeCell ref="C321:G321"/>
    <mergeCell ref="D327:G327"/>
    <mergeCell ref="D329:G329"/>
    <mergeCell ref="D330:G330"/>
    <mergeCell ref="D331:G331"/>
    <mergeCell ref="C332:C333"/>
    <mergeCell ref="C307:C309"/>
    <mergeCell ref="D307:G309"/>
    <mergeCell ref="D310:G310"/>
    <mergeCell ref="D311:G311"/>
    <mergeCell ref="D312:G312"/>
    <mergeCell ref="C313:C314"/>
    <mergeCell ref="D290:G290"/>
    <mergeCell ref="D291:G291"/>
    <mergeCell ref="D292:G292"/>
    <mergeCell ref="C293:C294"/>
    <mergeCell ref="C301:G301"/>
    <mergeCell ref="C302:C303"/>
    <mergeCell ref="D271:G271"/>
    <mergeCell ref="D272:G272"/>
    <mergeCell ref="C273:C274"/>
    <mergeCell ref="C281:G281"/>
    <mergeCell ref="C282:C283"/>
    <mergeCell ref="C287:C289"/>
    <mergeCell ref="D287:G289"/>
    <mergeCell ref="D246:G246"/>
    <mergeCell ref="D247:G247"/>
    <mergeCell ref="C248:C249"/>
    <mergeCell ref="C268:G268"/>
    <mergeCell ref="C269:G269"/>
    <mergeCell ref="D270:G270"/>
    <mergeCell ref="C235:G235"/>
    <mergeCell ref="D238:G238"/>
    <mergeCell ref="C239:G239"/>
    <mergeCell ref="C243:G243"/>
    <mergeCell ref="C244:G244"/>
    <mergeCell ref="D245:G245"/>
    <mergeCell ref="C210:G210"/>
    <mergeCell ref="D211:G211"/>
    <mergeCell ref="D212:G212"/>
    <mergeCell ref="D213:G213"/>
    <mergeCell ref="C214:C215"/>
    <mergeCell ref="D234:G234"/>
    <mergeCell ref="D179:G179"/>
    <mergeCell ref="D180:G180"/>
    <mergeCell ref="C181:C182"/>
    <mergeCell ref="D201:G201"/>
    <mergeCell ref="C202:G202"/>
    <mergeCell ref="C209:G209"/>
    <mergeCell ref="C154:G154"/>
    <mergeCell ref="D155:G155"/>
    <mergeCell ref="D156:G156"/>
    <mergeCell ref="D157:G157"/>
    <mergeCell ref="C158:C159"/>
    <mergeCell ref="D178:G178"/>
    <mergeCell ref="C125:C126"/>
    <mergeCell ref="C133:G133"/>
    <mergeCell ref="C134:C135"/>
    <mergeCell ref="D145:G145"/>
    <mergeCell ref="C146:G146"/>
    <mergeCell ref="C153:G153"/>
    <mergeCell ref="C116:G116"/>
    <mergeCell ref="C120:G120"/>
    <mergeCell ref="C121:G121"/>
    <mergeCell ref="D122:G122"/>
    <mergeCell ref="D123:G123"/>
    <mergeCell ref="D124:G124"/>
    <mergeCell ref="C72:C73"/>
    <mergeCell ref="D92:G92"/>
    <mergeCell ref="D93:G93"/>
    <mergeCell ref="D94:G94"/>
    <mergeCell ref="C95:C96"/>
    <mergeCell ref="D115:G115"/>
    <mergeCell ref="C58:G58"/>
    <mergeCell ref="C67:G67"/>
    <mergeCell ref="C68:G68"/>
    <mergeCell ref="D69:G69"/>
    <mergeCell ref="D70:G70"/>
    <mergeCell ref="D71:G71"/>
    <mergeCell ref="D36:G36"/>
    <mergeCell ref="C37:C38"/>
    <mergeCell ref="D57:G57"/>
    <mergeCell ref="C9:G9"/>
    <mergeCell ref="C11:G11"/>
    <mergeCell ref="C12:C13"/>
    <mergeCell ref="D27:G27"/>
    <mergeCell ref="C28:G28"/>
    <mergeCell ref="C32:G32"/>
    <mergeCell ref="C2:G2"/>
    <mergeCell ref="C3:G3"/>
    <mergeCell ref="D5:G5"/>
    <mergeCell ref="D6:G6"/>
    <mergeCell ref="D7:G7"/>
    <mergeCell ref="C8:G8"/>
    <mergeCell ref="C33:G33"/>
    <mergeCell ref="D34:G34"/>
    <mergeCell ref="D35:G35"/>
  </mergeCells>
  <printOptions horizontalCentered="1" verticalCentered="1"/>
  <pageMargins left="0.11811023622047245" right="0.11811023622047245" top="0.43307086614173229" bottom="0.39370078740157483" header="0.31496062992125984" footer="0.31496062992125984"/>
  <pageSetup scale="78" orientation="portrait" r:id="rId1"/>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L385"/>
  <sheetViews>
    <sheetView topLeftCell="A388" zoomScaleNormal="100" workbookViewId="0">
      <selection activeCell="F234" sqref="F234"/>
    </sheetView>
  </sheetViews>
  <sheetFormatPr defaultColWidth="32.5703125" defaultRowHeight="15" x14ac:dyDescent="0.25"/>
  <cols>
    <col min="1" max="1" width="16.140625" style="1608" customWidth="1"/>
    <col min="2" max="2" width="17.85546875" style="1608" customWidth="1"/>
    <col min="3" max="16384" width="32.5703125" style="1608"/>
  </cols>
  <sheetData>
    <row r="2" spans="2:10" ht="18" customHeight="1" thickBot="1" x14ac:dyDescent="0.3">
      <c r="C2" s="2465" t="s">
        <v>128</v>
      </c>
      <c r="D2" s="2465"/>
      <c r="E2" s="2465"/>
      <c r="F2" s="2465"/>
      <c r="G2" s="2465"/>
      <c r="H2" s="1605"/>
    </row>
    <row r="3" spans="2:10" ht="38.25" thickBot="1" x14ac:dyDescent="0.3">
      <c r="B3" s="1610"/>
      <c r="C3" s="1612" t="s">
        <v>20</v>
      </c>
      <c r="D3" s="2472" t="s">
        <v>480</v>
      </c>
      <c r="E3" s="2472"/>
      <c r="F3" s="2472"/>
      <c r="G3" s="2472"/>
      <c r="H3" s="1610"/>
      <c r="I3" s="1610"/>
      <c r="J3" s="1610"/>
    </row>
    <row r="4" spans="2:10" ht="19.5" thickBot="1" x14ac:dyDescent="0.3">
      <c r="B4" s="1610"/>
      <c r="C4" s="1612" t="s">
        <v>4</v>
      </c>
      <c r="D4" s="2473" t="s">
        <v>223</v>
      </c>
      <c r="E4" s="2474"/>
      <c r="F4" s="2474"/>
      <c r="G4" s="2475"/>
      <c r="H4" s="1610"/>
      <c r="I4" s="1610"/>
      <c r="J4" s="1610"/>
    </row>
    <row r="5" spans="2:10" ht="38.25" thickBot="1" x14ac:dyDescent="0.3">
      <c r="B5" s="1610"/>
      <c r="C5" s="1612" t="s">
        <v>35</v>
      </c>
      <c r="D5" s="2444" t="s">
        <v>5</v>
      </c>
      <c r="E5" s="2445"/>
      <c r="F5" s="2445"/>
      <c r="G5" s="2446"/>
      <c r="H5" s="1610"/>
      <c r="I5" s="1610"/>
      <c r="J5" s="1610"/>
    </row>
    <row r="6" spans="2:10" ht="19.5" thickBot="1" x14ac:dyDescent="0.3">
      <c r="B6" s="1610"/>
      <c r="C6" s="2476" t="s">
        <v>8</v>
      </c>
      <c r="D6" s="2477"/>
      <c r="E6" s="2477"/>
      <c r="F6" s="2477"/>
      <c r="G6" s="2478"/>
      <c r="H6" s="1610"/>
      <c r="I6" s="1610"/>
      <c r="J6" s="1610"/>
    </row>
    <row r="7" spans="2:10" ht="90.75" customHeight="1" thickBot="1" x14ac:dyDescent="0.3">
      <c r="B7" s="1610"/>
      <c r="C7" s="2422" t="s">
        <v>588</v>
      </c>
      <c r="D7" s="2423"/>
      <c r="E7" s="2423"/>
      <c r="F7" s="2423"/>
      <c r="G7" s="2424"/>
      <c r="H7" s="1610"/>
      <c r="I7" s="1610"/>
      <c r="J7" s="1610"/>
    </row>
    <row r="8" spans="2:10" s="1598" customFormat="1" ht="18.600000000000001" customHeight="1" thickBot="1" x14ac:dyDescent="0.3">
      <c r="B8" s="1610"/>
      <c r="C8" s="2485" t="s">
        <v>11</v>
      </c>
      <c r="D8" s="2486"/>
      <c r="E8" s="2486"/>
      <c r="F8" s="2486"/>
      <c r="G8" s="2487"/>
      <c r="H8" s="1610"/>
      <c r="I8" s="1610"/>
      <c r="J8" s="1610"/>
    </row>
    <row r="9" spans="2:10" ht="150.75" customHeight="1" thickBot="1" x14ac:dyDescent="0.3">
      <c r="B9" s="1610"/>
      <c r="C9" s="2466" t="s">
        <v>1205</v>
      </c>
      <c r="D9" s="2467"/>
      <c r="E9" s="2467"/>
      <c r="F9" s="2467"/>
      <c r="G9" s="2468"/>
      <c r="H9" s="1610"/>
      <c r="I9" s="1610"/>
      <c r="J9" s="1610"/>
    </row>
    <row r="10" spans="2:10" s="1605" customFormat="1" ht="23.25" customHeight="1" thickBot="1" x14ac:dyDescent="0.3">
      <c r="B10" s="1613"/>
      <c r="C10" s="2488" t="s">
        <v>119</v>
      </c>
      <c r="D10" s="1955">
        <v>2018</v>
      </c>
      <c r="E10" s="1955">
        <v>2019</v>
      </c>
      <c r="F10" s="1955">
        <v>2020</v>
      </c>
      <c r="G10" s="1955">
        <v>2021</v>
      </c>
      <c r="H10" s="1613"/>
      <c r="I10" s="1613"/>
      <c r="J10" s="1613"/>
    </row>
    <row r="11" spans="2:10" s="1605" customFormat="1" ht="19.5" thickBot="1" x14ac:dyDescent="0.3">
      <c r="B11" s="1613"/>
      <c r="C11" s="2489"/>
      <c r="D11" s="1955" t="s">
        <v>6</v>
      </c>
      <c r="E11" s="1955" t="s">
        <v>7</v>
      </c>
      <c r="F11" s="1955" t="s">
        <v>7</v>
      </c>
      <c r="G11" s="1955" t="s">
        <v>7</v>
      </c>
      <c r="H11" s="1613"/>
      <c r="I11" s="1613"/>
      <c r="J11" s="1613"/>
    </row>
    <row r="12" spans="2:10" ht="64.5" customHeight="1" thickBot="1" x14ac:dyDescent="0.3">
      <c r="B12" s="1610"/>
      <c r="C12" s="1954" t="s">
        <v>683</v>
      </c>
      <c r="D12" s="1956">
        <v>0.75737266668536118</v>
      </c>
      <c r="E12" s="1956">
        <v>0.78859044266851308</v>
      </c>
      <c r="F12" s="1956">
        <v>0.82192052127585835</v>
      </c>
      <c r="G12" s="1956">
        <v>0.84863057292666422</v>
      </c>
      <c r="H12" s="1610"/>
      <c r="I12" s="1610"/>
      <c r="J12" s="1610"/>
    </row>
    <row r="13" spans="2:10" ht="57" thickBot="1" x14ac:dyDescent="0.3">
      <c r="B13" s="1610"/>
      <c r="C13" s="1618" t="s">
        <v>682</v>
      </c>
      <c r="D13" s="1957">
        <v>81026</v>
      </c>
      <c r="E13" s="1957">
        <v>82000</v>
      </c>
      <c r="F13" s="1957">
        <v>83000</v>
      </c>
      <c r="G13" s="1957">
        <v>84000</v>
      </c>
      <c r="H13" s="1610"/>
      <c r="I13" s="1610"/>
      <c r="J13" s="1610"/>
    </row>
    <row r="14" spans="2:10" ht="57" thickBot="1" x14ac:dyDescent="0.3">
      <c r="B14" s="1610"/>
      <c r="C14" s="1618" t="s">
        <v>692</v>
      </c>
      <c r="D14" s="1957">
        <v>106983</v>
      </c>
      <c r="E14" s="1957">
        <v>103983</v>
      </c>
      <c r="F14" s="1957">
        <v>100983</v>
      </c>
      <c r="G14" s="1957">
        <v>98983</v>
      </c>
      <c r="H14" s="1610"/>
      <c r="I14" s="1610"/>
      <c r="J14" s="1610"/>
    </row>
    <row r="15" spans="2:10" ht="38.25" thickBot="1" x14ac:dyDescent="0.3">
      <c r="B15" s="1610"/>
      <c r="C15" s="1618" t="s">
        <v>691</v>
      </c>
      <c r="D15" s="1956">
        <f>D16/D21</f>
        <v>0.12679628064243448</v>
      </c>
      <c r="E15" s="1956">
        <f>E16/E21</f>
        <v>0.12679628064243448</v>
      </c>
      <c r="F15" s="1956">
        <f>F16/F21</f>
        <v>0.12679628064243448</v>
      </c>
      <c r="G15" s="1956">
        <f>G16/G21</f>
        <v>0.12679628064243448</v>
      </c>
      <c r="H15" s="1610"/>
      <c r="I15" s="1610"/>
      <c r="J15" s="1610"/>
    </row>
    <row r="16" spans="2:10" ht="53.25" customHeight="1" thickBot="1" x14ac:dyDescent="0.3">
      <c r="B16" s="1610"/>
      <c r="C16" s="1618" t="s">
        <v>690</v>
      </c>
      <c r="D16" s="1957">
        <v>3000</v>
      </c>
      <c r="E16" s="1957">
        <v>3000</v>
      </c>
      <c r="F16" s="1957">
        <v>3000</v>
      </c>
      <c r="G16" s="1957">
        <v>3000</v>
      </c>
      <c r="H16" s="1610"/>
      <c r="I16" s="1610"/>
      <c r="J16" s="1610"/>
    </row>
    <row r="17" spans="2:10" ht="57" thickBot="1" x14ac:dyDescent="0.3">
      <c r="B17" s="1610"/>
      <c r="C17" s="1618" t="s">
        <v>672</v>
      </c>
      <c r="D17" s="1957">
        <v>120</v>
      </c>
      <c r="E17" s="1957">
        <v>120</v>
      </c>
      <c r="F17" s="1957">
        <v>120</v>
      </c>
      <c r="G17" s="1957">
        <v>120</v>
      </c>
      <c r="H17" s="1610"/>
      <c r="I17" s="1610"/>
      <c r="J17" s="1610"/>
    </row>
    <row r="18" spans="2:10" ht="57" thickBot="1" x14ac:dyDescent="0.3">
      <c r="B18" s="1610"/>
      <c r="C18" s="1618" t="s">
        <v>622</v>
      </c>
      <c r="D18" s="1957">
        <v>300</v>
      </c>
      <c r="E18" s="1957">
        <v>300</v>
      </c>
      <c r="F18" s="1957">
        <v>300</v>
      </c>
      <c r="G18" s="1957">
        <v>300</v>
      </c>
      <c r="H18" s="1610"/>
      <c r="I18" s="1610"/>
      <c r="J18" s="1610"/>
    </row>
    <row r="19" spans="2:10" ht="38.25" thickBot="1" x14ac:dyDescent="0.3">
      <c r="B19" s="1610"/>
      <c r="C19" s="1618" t="s">
        <v>1206</v>
      </c>
      <c r="D19" s="1957">
        <v>200</v>
      </c>
      <c r="E19" s="1957">
        <v>200</v>
      </c>
      <c r="F19" s="1957">
        <v>200</v>
      </c>
      <c r="G19" s="1957">
        <v>200</v>
      </c>
      <c r="H19" s="1610"/>
      <c r="I19" s="1610"/>
      <c r="J19" s="1610"/>
    </row>
    <row r="20" spans="2:10" ht="57" thickBot="1" x14ac:dyDescent="0.3">
      <c r="B20" s="1610"/>
      <c r="C20" s="1618" t="s">
        <v>689</v>
      </c>
      <c r="D20" s="1956">
        <f>6000/D21</f>
        <v>0.25359256128486896</v>
      </c>
      <c r="E20" s="1956">
        <f>6000/E21</f>
        <v>0.25359256128486896</v>
      </c>
      <c r="F20" s="1956">
        <f>6000/F21</f>
        <v>0.25359256128486896</v>
      </c>
      <c r="G20" s="1956">
        <f>6000/G21</f>
        <v>0.25359256128486896</v>
      </c>
      <c r="H20" s="1610"/>
      <c r="I20" s="1610"/>
      <c r="J20" s="1610"/>
    </row>
    <row r="21" spans="2:10" ht="38.25" thickBot="1" x14ac:dyDescent="0.3">
      <c r="B21" s="1610"/>
      <c r="C21" s="1618" t="s">
        <v>631</v>
      </c>
      <c r="D21" s="1957">
        <v>23660</v>
      </c>
      <c r="E21" s="1957">
        <v>23660</v>
      </c>
      <c r="F21" s="1957">
        <v>23660</v>
      </c>
      <c r="G21" s="1957">
        <v>23660</v>
      </c>
      <c r="H21" s="1610"/>
      <c r="I21" s="1610"/>
      <c r="J21" s="1610"/>
    </row>
    <row r="22" spans="2:10" ht="38.25" thickBot="1" x14ac:dyDescent="0.3">
      <c r="B22" s="1610"/>
      <c r="C22" s="1970" t="s">
        <v>688</v>
      </c>
      <c r="D22" s="1959">
        <v>0.57784925106794294</v>
      </c>
      <c r="E22" s="1959">
        <v>0.56136406302715336</v>
      </c>
      <c r="F22" s="1959">
        <v>0.56088912798943613</v>
      </c>
      <c r="G22" s="1959">
        <v>0.55682097702563094</v>
      </c>
      <c r="H22" s="1610"/>
      <c r="I22" s="1610"/>
      <c r="J22" s="1610"/>
    </row>
    <row r="23" spans="2:10" ht="19.5" thickBot="1" x14ac:dyDescent="0.3">
      <c r="B23" s="1610"/>
      <c r="C23" s="1958" t="s">
        <v>687</v>
      </c>
      <c r="D23" s="1960">
        <v>1.3439498239948798E-2</v>
      </c>
      <c r="E23" s="1960">
        <v>1.2572706884133944E-2</v>
      </c>
      <c r="F23" s="1960">
        <v>1.2246266509127973E-2</v>
      </c>
      <c r="G23" s="1960">
        <v>1.1316553552788921E-2</v>
      </c>
      <c r="H23" s="1610"/>
      <c r="I23" s="1610"/>
      <c r="J23" s="1610"/>
    </row>
    <row r="24" spans="2:10" ht="19.5" thickBot="1" x14ac:dyDescent="0.3">
      <c r="B24" s="1610"/>
      <c r="C24" s="1958" t="s">
        <v>686</v>
      </c>
      <c r="D24" s="1960">
        <v>4.4610561109222263E-2</v>
      </c>
      <c r="E24" s="1960">
        <v>4.2138613407584374E-2</v>
      </c>
      <c r="F24" s="1960">
        <v>4.1721690476970032E-2</v>
      </c>
      <c r="G24" s="1960">
        <v>3.9580987417732673E-2</v>
      </c>
      <c r="H24" s="1610"/>
      <c r="I24" s="1610"/>
      <c r="J24" s="1610"/>
    </row>
    <row r="25" spans="2:10" ht="93.75" customHeight="1" thickBot="1" x14ac:dyDescent="0.3">
      <c r="B25" s="1610"/>
      <c r="C25" s="1940" t="s">
        <v>12</v>
      </c>
      <c r="D25" s="2466" t="s">
        <v>684</v>
      </c>
      <c r="E25" s="2467"/>
      <c r="F25" s="2467"/>
      <c r="G25" s="2468"/>
      <c r="H25" s="1610"/>
      <c r="I25" s="1610"/>
      <c r="J25" s="1610"/>
    </row>
    <row r="26" spans="2:10" ht="16.899999999999999" customHeight="1" thickBot="1" x14ac:dyDescent="0.3">
      <c r="B26" s="1610"/>
      <c r="C26" s="2469" t="s">
        <v>120</v>
      </c>
      <c r="D26" s="2470"/>
      <c r="E26" s="2470"/>
      <c r="F26" s="2470"/>
      <c r="G26" s="2471"/>
      <c r="H26" s="1610"/>
      <c r="I26" s="1610"/>
      <c r="J26" s="1620"/>
    </row>
    <row r="27" spans="2:10" ht="50.25" customHeight="1" thickBot="1" x14ac:dyDescent="0.3">
      <c r="B27" s="1610"/>
      <c r="C27" s="1961" t="s">
        <v>683</v>
      </c>
      <c r="D27" s="1962">
        <f>D28/D29</f>
        <v>0.75737266668536118</v>
      </c>
      <c r="E27" s="1962">
        <f>E28/E29</f>
        <v>0.78859044266851308</v>
      </c>
      <c r="F27" s="1962">
        <f>F28/F29</f>
        <v>0.82192052127585835</v>
      </c>
      <c r="G27" s="1962">
        <f>G28/G29</f>
        <v>0.84863057292666422</v>
      </c>
      <c r="H27" s="1610"/>
      <c r="I27" s="1610"/>
      <c r="J27" s="1610"/>
    </row>
    <row r="28" spans="2:10" ht="58.5" customHeight="1" thickBot="1" x14ac:dyDescent="0.3">
      <c r="B28" s="1610"/>
      <c r="C28" s="1963" t="s">
        <v>682</v>
      </c>
      <c r="D28" s="1964">
        <v>81026</v>
      </c>
      <c r="E28" s="1964">
        <v>82000</v>
      </c>
      <c r="F28" s="1964">
        <v>83000</v>
      </c>
      <c r="G28" s="1964">
        <v>84000</v>
      </c>
      <c r="H28" s="1610"/>
      <c r="I28" s="1610"/>
      <c r="J28" s="1610"/>
    </row>
    <row r="29" spans="2:10" ht="34.5" customHeight="1" thickBot="1" x14ac:dyDescent="0.3">
      <c r="B29" s="1610"/>
      <c r="C29" s="1963" t="s">
        <v>681</v>
      </c>
      <c r="D29" s="1964">
        <v>106983</v>
      </c>
      <c r="E29" s="1964">
        <v>103983</v>
      </c>
      <c r="F29" s="1964">
        <v>100983</v>
      </c>
      <c r="G29" s="1964">
        <v>98983</v>
      </c>
      <c r="H29" s="1610"/>
      <c r="I29" s="1610"/>
      <c r="J29" s="1610"/>
    </row>
    <row r="30" spans="2:10" ht="20.25" customHeight="1" thickBot="1" x14ac:dyDescent="0.3">
      <c r="B30" s="1610"/>
      <c r="C30" s="2441" t="s">
        <v>66</v>
      </c>
      <c r="D30" s="2442"/>
      <c r="E30" s="2442"/>
      <c r="F30" s="2442"/>
      <c r="G30" s="2443"/>
      <c r="H30" s="1610"/>
      <c r="I30" s="1610"/>
      <c r="J30" s="1610"/>
    </row>
    <row r="31" spans="2:10" ht="28.5" customHeight="1" thickBot="1" x14ac:dyDescent="0.3">
      <c r="B31" s="1610"/>
      <c r="C31" s="2441" t="s">
        <v>121</v>
      </c>
      <c r="D31" s="2442"/>
      <c r="E31" s="2442"/>
      <c r="F31" s="2442"/>
      <c r="G31" s="2443"/>
      <c r="H31" s="1610"/>
      <c r="I31" s="1610"/>
      <c r="J31" s="1610"/>
    </row>
    <row r="32" spans="2:10" ht="90" customHeight="1" thickBot="1" x14ac:dyDescent="0.3">
      <c r="B32" s="1610"/>
      <c r="C32" s="1621" t="s">
        <v>680</v>
      </c>
      <c r="D32" s="2422" t="s">
        <v>679</v>
      </c>
      <c r="E32" s="2423"/>
      <c r="F32" s="2423"/>
      <c r="G32" s="2424"/>
      <c r="H32" s="1610"/>
      <c r="I32" s="1610"/>
      <c r="J32" s="1610"/>
    </row>
    <row r="33" spans="2:11" ht="74.25" customHeight="1" thickBot="1" x14ac:dyDescent="0.3">
      <c r="B33" s="1610"/>
      <c r="C33" s="1617" t="s">
        <v>10</v>
      </c>
      <c r="D33" s="2422" t="s">
        <v>678</v>
      </c>
      <c r="E33" s="2423"/>
      <c r="F33" s="2423"/>
      <c r="G33" s="2424"/>
      <c r="H33" s="1610"/>
      <c r="I33" s="1610"/>
      <c r="J33" s="1610"/>
    </row>
    <row r="34" spans="2:11" ht="25.5" customHeight="1" thickBot="1" x14ac:dyDescent="0.3">
      <c r="B34" s="1610"/>
      <c r="C34" s="1617" t="s">
        <v>13</v>
      </c>
      <c r="D34" s="2425" t="s">
        <v>677</v>
      </c>
      <c r="E34" s="2426"/>
      <c r="F34" s="2426"/>
      <c r="G34" s="2427"/>
      <c r="H34" s="1610"/>
      <c r="I34" s="1610"/>
      <c r="J34" s="1610"/>
    </row>
    <row r="35" spans="2:11" ht="27" customHeight="1" x14ac:dyDescent="0.25">
      <c r="B35" s="1610"/>
      <c r="C35" s="2428"/>
      <c r="D35" s="1614">
        <v>2018</v>
      </c>
      <c r="E35" s="1614">
        <v>2019</v>
      </c>
      <c r="F35" s="1614">
        <v>2020</v>
      </c>
      <c r="G35" s="1614">
        <v>2021</v>
      </c>
      <c r="H35" s="1610"/>
      <c r="I35" s="1610"/>
      <c r="J35" s="1610"/>
    </row>
    <row r="36" spans="2:11" ht="18.600000000000001" customHeight="1" thickBot="1" x14ac:dyDescent="0.3">
      <c r="B36" s="1610"/>
      <c r="C36" s="2429"/>
      <c r="D36" s="1615" t="s">
        <v>6</v>
      </c>
      <c r="E36" s="1615" t="s">
        <v>7</v>
      </c>
      <c r="F36" s="1615" t="s">
        <v>7</v>
      </c>
      <c r="G36" s="1615" t="s">
        <v>7</v>
      </c>
      <c r="H36" s="1610"/>
      <c r="I36" s="1610"/>
      <c r="J36" s="1610"/>
    </row>
    <row r="37" spans="2:11" ht="19.5" thickBot="1" x14ac:dyDescent="0.3">
      <c r="B37" s="1610"/>
      <c r="C37" s="1617" t="s">
        <v>9</v>
      </c>
      <c r="D37" s="1911">
        <v>81026</v>
      </c>
      <c r="E37" s="1911">
        <v>82000</v>
      </c>
      <c r="F37" s="1911">
        <v>83000</v>
      </c>
      <c r="G37" s="1912">
        <v>84000</v>
      </c>
      <c r="H37" s="1610"/>
      <c r="I37" s="1610"/>
      <c r="J37" s="1610"/>
    </row>
    <row r="38" spans="2:11" ht="19.5" thickBot="1" x14ac:dyDescent="0.3">
      <c r="B38" s="1610"/>
      <c r="C38" s="1617" t="s">
        <v>14</v>
      </c>
      <c r="D38" s="1911">
        <v>28000</v>
      </c>
      <c r="E38" s="1911">
        <v>28903.314985313358</v>
      </c>
      <c r="F38" s="1911">
        <v>29840.91032508084</v>
      </c>
      <c r="G38" s="1912">
        <v>30804.448152444897</v>
      </c>
      <c r="H38" s="1610"/>
      <c r="I38" s="1610"/>
      <c r="J38" s="1610"/>
    </row>
    <row r="39" spans="2:11" ht="38.25" thickBot="1" x14ac:dyDescent="0.3">
      <c r="B39" s="1610"/>
      <c r="C39" s="1617" t="s">
        <v>23</v>
      </c>
      <c r="D39" s="1922">
        <f>D38/D37</f>
        <v>0.34556808925530075</v>
      </c>
      <c r="E39" s="1922">
        <f t="shared" ref="E39:G39" si="0">E38/E37</f>
        <v>0.35247945104040679</v>
      </c>
      <c r="F39" s="1922">
        <f t="shared" si="0"/>
        <v>0.35952904006121494</v>
      </c>
      <c r="G39" s="1927">
        <f t="shared" si="0"/>
        <v>0.36671962086243926</v>
      </c>
      <c r="H39" s="1610"/>
      <c r="I39" s="1610"/>
      <c r="J39" s="1610"/>
    </row>
    <row r="40" spans="2:11" ht="19.5" thickBot="1" x14ac:dyDescent="0.3">
      <c r="B40" s="1610"/>
      <c r="C40" s="1617" t="s">
        <v>15</v>
      </c>
      <c r="D40" s="1883"/>
      <c r="E40" s="1903">
        <f t="shared" ref="E40:G42" si="1">E37/D37-1</f>
        <v>1.2020832819095162E-2</v>
      </c>
      <c r="F40" s="1903">
        <f t="shared" si="1"/>
        <v>1.2195121951219523E-2</v>
      </c>
      <c r="G40" s="1943">
        <f t="shared" si="1"/>
        <v>1.2048192771084265E-2</v>
      </c>
      <c r="H40" s="1610"/>
      <c r="I40" s="1623"/>
      <c r="J40" s="1623"/>
      <c r="K40" s="1609"/>
    </row>
    <row r="41" spans="2:11" ht="38.25" thickBot="1" x14ac:dyDescent="0.3">
      <c r="B41" s="1610"/>
      <c r="C41" s="1617" t="s">
        <v>16</v>
      </c>
      <c r="D41" s="1883"/>
      <c r="E41" s="1903">
        <f t="shared" si="1"/>
        <v>3.2261249475477038E-2</v>
      </c>
      <c r="F41" s="1903">
        <f t="shared" si="1"/>
        <v>3.2439024390243931E-2</v>
      </c>
      <c r="G41" s="1943">
        <f t="shared" si="1"/>
        <v>3.2289156626505999E-2</v>
      </c>
      <c r="H41" s="1610"/>
      <c r="I41" s="1610"/>
      <c r="J41" s="1610"/>
    </row>
    <row r="42" spans="2:11" ht="38.25" thickBot="1" x14ac:dyDescent="0.3">
      <c r="B42" s="1610"/>
      <c r="C42" s="1617" t="s">
        <v>17</v>
      </c>
      <c r="D42" s="1883"/>
      <c r="E42" s="1903">
        <f t="shared" si="1"/>
        <v>2.0000000000000018E-2</v>
      </c>
      <c r="F42" s="1903">
        <f t="shared" si="1"/>
        <v>2.0000000000000018E-2</v>
      </c>
      <c r="G42" s="1943">
        <f t="shared" si="1"/>
        <v>2.0000000000000018E-2</v>
      </c>
      <c r="H42" s="1610"/>
      <c r="I42" s="1610"/>
      <c r="J42" s="1610"/>
    </row>
    <row r="43" spans="2:11" ht="25.15" customHeight="1" thickBot="1" x14ac:dyDescent="0.3">
      <c r="B43" s="1610"/>
      <c r="C43" s="1624" t="s">
        <v>1173</v>
      </c>
      <c r="D43" s="1625"/>
      <c r="E43" s="1625"/>
      <c r="F43" s="1625"/>
      <c r="G43" s="1626"/>
      <c r="H43" s="1610"/>
      <c r="I43" s="1610"/>
      <c r="J43" s="1610"/>
    </row>
    <row r="44" spans="2:11" ht="27" customHeight="1" x14ac:dyDescent="0.25">
      <c r="B44" s="1610"/>
      <c r="C44" s="1627"/>
      <c r="D44" s="1614">
        <v>2018</v>
      </c>
      <c r="E44" s="1614">
        <v>2019</v>
      </c>
      <c r="F44" s="1614">
        <v>2020</v>
      </c>
      <c r="G44" s="1614">
        <v>2021</v>
      </c>
      <c r="H44" s="1610"/>
      <c r="I44" s="1610"/>
      <c r="J44" s="1610"/>
    </row>
    <row r="45" spans="2:11" ht="20.25" customHeight="1" thickBot="1" x14ac:dyDescent="0.3">
      <c r="B45" s="1610"/>
      <c r="C45" s="1628"/>
      <c r="D45" s="1615" t="s">
        <v>6</v>
      </c>
      <c r="E45" s="1615" t="s">
        <v>7</v>
      </c>
      <c r="F45" s="1615" t="s">
        <v>7</v>
      </c>
      <c r="G45" s="1615" t="s">
        <v>7</v>
      </c>
      <c r="H45" s="1610"/>
      <c r="I45" s="1610"/>
      <c r="J45" s="1610"/>
    </row>
    <row r="46" spans="2:11" ht="19.5" thickBot="1" x14ac:dyDescent="0.3">
      <c r="B46" s="1610"/>
      <c r="C46" s="1617" t="s">
        <v>0</v>
      </c>
      <c r="D46" s="1908">
        <v>0</v>
      </c>
      <c r="E46" s="1908"/>
      <c r="F46" s="1908"/>
      <c r="G46" s="1908"/>
      <c r="H46" s="1610"/>
      <c r="I46" s="1610"/>
      <c r="J46" s="1610"/>
    </row>
    <row r="47" spans="2:11" ht="38.25" thickBot="1" x14ac:dyDescent="0.3">
      <c r="B47" s="1610"/>
      <c r="C47" s="1617" t="s">
        <v>49</v>
      </c>
      <c r="D47" s="1908">
        <v>0</v>
      </c>
      <c r="E47" s="1908"/>
      <c r="F47" s="1908"/>
      <c r="G47" s="1908"/>
      <c r="H47" s="1610"/>
      <c r="I47" s="1610"/>
      <c r="J47" s="1610"/>
    </row>
    <row r="48" spans="2:11" ht="19.5" thickBot="1" x14ac:dyDescent="0.3">
      <c r="B48" s="1610"/>
      <c r="C48" s="1617" t="s">
        <v>1</v>
      </c>
      <c r="D48" s="1911">
        <f>D38</f>
        <v>28000</v>
      </c>
      <c r="E48" s="1911">
        <f>E38</f>
        <v>28903.314985313358</v>
      </c>
      <c r="F48" s="1911">
        <f>F38</f>
        <v>29840.91032508084</v>
      </c>
      <c r="G48" s="1912">
        <f>G38</f>
        <v>30804.448152444897</v>
      </c>
      <c r="H48" s="1610"/>
      <c r="I48" s="1610"/>
      <c r="J48" s="1610"/>
    </row>
    <row r="49" spans="2:10" ht="19.5" thickBot="1" x14ac:dyDescent="0.3">
      <c r="B49" s="1610"/>
      <c r="C49" s="1617" t="s">
        <v>2</v>
      </c>
      <c r="D49" s="1908">
        <v>0</v>
      </c>
      <c r="E49" s="1908"/>
      <c r="F49" s="1908"/>
      <c r="G49" s="1908"/>
      <c r="H49" s="1610"/>
      <c r="I49" s="1610"/>
      <c r="J49" s="1610"/>
    </row>
    <row r="50" spans="2:10" ht="38.25" thickBot="1" x14ac:dyDescent="0.3">
      <c r="B50" s="1610"/>
      <c r="C50" s="1617" t="s">
        <v>28</v>
      </c>
      <c r="D50" s="1908">
        <v>0</v>
      </c>
      <c r="E50" s="1908"/>
      <c r="F50" s="1908"/>
      <c r="G50" s="1908"/>
      <c r="H50" s="1610"/>
      <c r="I50" s="1610"/>
      <c r="J50" s="1610"/>
    </row>
    <row r="51" spans="2:10" ht="19.5" thickBot="1" x14ac:dyDescent="0.3">
      <c r="B51" s="1610"/>
      <c r="C51" s="1617" t="s">
        <v>30</v>
      </c>
      <c r="D51" s="1908">
        <v>0</v>
      </c>
      <c r="E51" s="1908"/>
      <c r="F51" s="1908"/>
      <c r="G51" s="1908"/>
      <c r="H51" s="1610"/>
      <c r="I51" s="1610"/>
      <c r="J51" s="1610"/>
    </row>
    <row r="52" spans="2:10" ht="38.25" thickBot="1" x14ac:dyDescent="0.3">
      <c r="B52" s="1610"/>
      <c r="C52" s="1617" t="s">
        <v>3</v>
      </c>
      <c r="D52" s="1908"/>
      <c r="E52" s="1908"/>
      <c r="F52" s="1908"/>
      <c r="G52" s="1908"/>
      <c r="H52" s="1610"/>
      <c r="I52" s="1610"/>
      <c r="J52" s="1610"/>
    </row>
    <row r="53" spans="2:10" ht="18.75" x14ac:dyDescent="0.25">
      <c r="B53" s="1610"/>
      <c r="C53" s="1630" t="s">
        <v>68</v>
      </c>
      <c r="D53" s="1911">
        <f>SUM(D46:D52)</f>
        <v>28000</v>
      </c>
      <c r="E53" s="1911">
        <f>SUM(E46:E52)</f>
        <v>28903.314985313358</v>
      </c>
      <c r="F53" s="1911">
        <f>SUM(F46:F52)</f>
        <v>29840.91032508084</v>
      </c>
      <c r="G53" s="1912">
        <f>SUM(G46:G52)</f>
        <v>30804.448152444897</v>
      </c>
      <c r="H53" s="1610"/>
      <c r="I53" s="1610"/>
      <c r="J53" s="1610"/>
    </row>
    <row r="54" spans="2:10" ht="19.5" thickBot="1" x14ac:dyDescent="0.3">
      <c r="B54" s="1610"/>
      <c r="C54" s="1631" t="s">
        <v>70</v>
      </c>
      <c r="D54" s="1902">
        <f>D53-D38</f>
        <v>0</v>
      </c>
      <c r="E54" s="1902">
        <f>E53-E38</f>
        <v>0</v>
      </c>
      <c r="F54" s="1902">
        <f>F53-F38</f>
        <v>0</v>
      </c>
      <c r="G54" s="1902">
        <f>G53-G38</f>
        <v>0</v>
      </c>
      <c r="H54" s="1610"/>
      <c r="I54" s="1610"/>
      <c r="J54" s="1610"/>
    </row>
    <row r="55" spans="2:10" ht="108" customHeight="1" thickBot="1" x14ac:dyDescent="0.3">
      <c r="B55" s="1610"/>
      <c r="C55" s="1940" t="s">
        <v>22</v>
      </c>
      <c r="D55" s="2466" t="s">
        <v>667</v>
      </c>
      <c r="E55" s="2467"/>
      <c r="F55" s="2467"/>
      <c r="G55" s="2468"/>
      <c r="H55" s="1610"/>
      <c r="I55" s="1610"/>
      <c r="J55" s="1610"/>
    </row>
    <row r="56" spans="2:10" ht="23.25" customHeight="1" thickBot="1" x14ac:dyDescent="0.3">
      <c r="B56" s="1610"/>
      <c r="C56" s="2462" t="s">
        <v>495</v>
      </c>
      <c r="D56" s="2463"/>
      <c r="E56" s="2463"/>
      <c r="F56" s="2463"/>
      <c r="G56" s="2464"/>
      <c r="H56" s="1610"/>
      <c r="I56" s="1610"/>
      <c r="J56" s="1620"/>
    </row>
    <row r="57" spans="2:10" ht="43.5" customHeight="1" thickBot="1" x14ac:dyDescent="0.3">
      <c r="B57" s="1610"/>
      <c r="C57" s="1617" t="s">
        <v>675</v>
      </c>
      <c r="D57" s="1953">
        <v>100</v>
      </c>
      <c r="E57" s="1953">
        <v>100</v>
      </c>
      <c r="F57" s="1953">
        <v>100</v>
      </c>
      <c r="G57" s="1953">
        <v>100</v>
      </c>
      <c r="H57" s="1610"/>
      <c r="I57" s="1610"/>
      <c r="J57" s="1620"/>
    </row>
    <row r="58" spans="2:10" ht="45.75" customHeight="1" thickBot="1" x14ac:dyDescent="0.3">
      <c r="B58" s="1610"/>
      <c r="C58" s="1617" t="s">
        <v>674</v>
      </c>
      <c r="D58" s="1953">
        <f>D59/D63</f>
        <v>0.50718512256973791</v>
      </c>
      <c r="E58" s="1953">
        <f>E59/E63</f>
        <v>0.50718512256973791</v>
      </c>
      <c r="F58" s="1953">
        <f>F59/F63</f>
        <v>0.50718512256973791</v>
      </c>
      <c r="G58" s="1953">
        <f>G59/G63</f>
        <v>0.50718512256973791</v>
      </c>
      <c r="H58" s="1610"/>
      <c r="I58" s="1610"/>
      <c r="J58" s="1610"/>
    </row>
    <row r="59" spans="2:10" ht="27" customHeight="1" thickBot="1" x14ac:dyDescent="0.3">
      <c r="B59" s="1610"/>
      <c r="C59" s="1617" t="s">
        <v>673</v>
      </c>
      <c r="D59" s="1953">
        <v>12000</v>
      </c>
      <c r="E59" s="1953">
        <v>12000</v>
      </c>
      <c r="F59" s="1953">
        <v>12000</v>
      </c>
      <c r="G59" s="1953">
        <v>12000</v>
      </c>
      <c r="H59" s="1610"/>
      <c r="I59" s="1610"/>
      <c r="J59" s="1610"/>
    </row>
    <row r="60" spans="2:10" ht="57" thickBot="1" x14ac:dyDescent="0.3">
      <c r="B60" s="1610"/>
      <c r="C60" s="1617" t="s">
        <v>672</v>
      </c>
      <c r="D60" s="1953">
        <v>120</v>
      </c>
      <c r="E60" s="1953">
        <v>120</v>
      </c>
      <c r="F60" s="1953">
        <v>120</v>
      </c>
      <c r="G60" s="1953">
        <v>120</v>
      </c>
      <c r="H60" s="1610"/>
      <c r="I60" s="1610"/>
      <c r="J60" s="1610"/>
    </row>
    <row r="61" spans="2:10" ht="57" thickBot="1" x14ac:dyDescent="0.3">
      <c r="B61" s="1610"/>
      <c r="C61" s="1617" t="s">
        <v>622</v>
      </c>
      <c r="D61" s="1953">
        <v>300</v>
      </c>
      <c r="E61" s="1953">
        <v>300</v>
      </c>
      <c r="F61" s="1953">
        <v>300</v>
      </c>
      <c r="G61" s="1953">
        <v>300</v>
      </c>
      <c r="H61" s="1610"/>
      <c r="I61" s="1610"/>
      <c r="J61" s="1610"/>
    </row>
    <row r="62" spans="2:10" ht="38.25" thickBot="1" x14ac:dyDescent="0.3">
      <c r="B62" s="1610"/>
      <c r="C62" s="1617" t="s">
        <v>1206</v>
      </c>
      <c r="D62" s="1953">
        <v>200</v>
      </c>
      <c r="E62" s="1953">
        <v>200</v>
      </c>
      <c r="F62" s="1953">
        <v>200</v>
      </c>
      <c r="G62" s="1953">
        <v>200</v>
      </c>
      <c r="H62" s="1610"/>
      <c r="I62" s="1610"/>
      <c r="J62" s="1610"/>
    </row>
    <row r="63" spans="2:10" ht="38.25" thickBot="1" x14ac:dyDescent="0.3">
      <c r="B63" s="1610"/>
      <c r="C63" s="1617" t="s">
        <v>631</v>
      </c>
      <c r="D63" s="1953">
        <v>23660</v>
      </c>
      <c r="E63" s="1953">
        <v>23660</v>
      </c>
      <c r="F63" s="1953">
        <v>23660</v>
      </c>
      <c r="G63" s="1953">
        <v>23660</v>
      </c>
      <c r="H63" s="1610"/>
      <c r="I63" s="1610"/>
      <c r="J63" s="1610"/>
    </row>
    <row r="64" spans="2:10" ht="38.25" thickBot="1" x14ac:dyDescent="0.3">
      <c r="B64" s="1610"/>
      <c r="C64" s="1617" t="s">
        <v>670</v>
      </c>
      <c r="D64" s="1953">
        <v>80</v>
      </c>
      <c r="E64" s="1953">
        <v>80</v>
      </c>
      <c r="F64" s="1953">
        <v>80</v>
      </c>
      <c r="G64" s="1953">
        <v>80</v>
      </c>
      <c r="H64" s="1610"/>
      <c r="I64" s="1610"/>
      <c r="J64" s="1610"/>
    </row>
    <row r="65" spans="2:11" ht="30.75" customHeight="1" thickBot="1" x14ac:dyDescent="0.3">
      <c r="B65" s="1610"/>
      <c r="C65" s="2441" t="s">
        <v>67</v>
      </c>
      <c r="D65" s="2442"/>
      <c r="E65" s="2442"/>
      <c r="F65" s="2442"/>
      <c r="G65" s="2443"/>
      <c r="H65" s="1610"/>
      <c r="I65" s="1610"/>
      <c r="J65" s="1610"/>
    </row>
    <row r="66" spans="2:11" ht="30.75" customHeight="1" thickBot="1" x14ac:dyDescent="0.3">
      <c r="B66" s="1610"/>
      <c r="C66" s="2441" t="s">
        <v>121</v>
      </c>
      <c r="D66" s="2442"/>
      <c r="E66" s="2442"/>
      <c r="F66" s="2442"/>
      <c r="G66" s="2443"/>
      <c r="H66" s="1610"/>
      <c r="I66" s="1610"/>
      <c r="J66" s="1610"/>
    </row>
    <row r="67" spans="2:11" ht="81.75" customHeight="1" thickBot="1" x14ac:dyDescent="0.3">
      <c r="B67" s="1610"/>
      <c r="C67" s="1621" t="s">
        <v>669</v>
      </c>
      <c r="D67" s="2422" t="s">
        <v>668</v>
      </c>
      <c r="E67" s="2423"/>
      <c r="F67" s="2423"/>
      <c r="G67" s="2424"/>
      <c r="H67" s="1610"/>
      <c r="I67" s="1610"/>
      <c r="J67" s="1610"/>
    </row>
    <row r="68" spans="2:11" ht="44.45" customHeight="1" thickBot="1" x14ac:dyDescent="0.3">
      <c r="B68" s="1610"/>
      <c r="C68" s="1617" t="s">
        <v>10</v>
      </c>
      <c r="D68" s="2422" t="s">
        <v>667</v>
      </c>
      <c r="E68" s="2423"/>
      <c r="F68" s="2423"/>
      <c r="G68" s="2424"/>
      <c r="H68" s="1610"/>
      <c r="I68" s="1610"/>
      <c r="J68" s="1610"/>
    </row>
    <row r="69" spans="2:11" ht="19.5" thickBot="1" x14ac:dyDescent="0.3">
      <c r="B69" s="1610"/>
      <c r="C69" s="1617" t="s">
        <v>13</v>
      </c>
      <c r="D69" s="2425" t="s">
        <v>615</v>
      </c>
      <c r="E69" s="2426"/>
      <c r="F69" s="2426"/>
      <c r="G69" s="2427"/>
      <c r="H69" s="1610"/>
      <c r="I69" s="1610"/>
      <c r="J69" s="1610"/>
    </row>
    <row r="70" spans="2:11" ht="22.5" customHeight="1" x14ac:dyDescent="0.25">
      <c r="B70" s="1610"/>
      <c r="C70" s="2428"/>
      <c r="D70" s="1614">
        <v>2018</v>
      </c>
      <c r="E70" s="1614">
        <v>2019</v>
      </c>
      <c r="F70" s="1614">
        <v>2020</v>
      </c>
      <c r="G70" s="1614">
        <v>2021</v>
      </c>
      <c r="H70" s="1610"/>
      <c r="I70" s="1610"/>
      <c r="J70" s="1610"/>
    </row>
    <row r="71" spans="2:11" ht="28.5" customHeight="1" thickBot="1" x14ac:dyDescent="0.3">
      <c r="B71" s="1610"/>
      <c r="C71" s="2429"/>
      <c r="D71" s="1615" t="s">
        <v>6</v>
      </c>
      <c r="E71" s="1615" t="s">
        <v>7</v>
      </c>
      <c r="F71" s="1615" t="s">
        <v>7</v>
      </c>
      <c r="G71" s="1615" t="s">
        <v>7</v>
      </c>
      <c r="H71" s="1610"/>
      <c r="I71" s="1610"/>
      <c r="J71" s="1610"/>
    </row>
    <row r="72" spans="2:11" ht="19.5" thickBot="1" x14ac:dyDescent="0.25">
      <c r="B72" s="1610"/>
      <c r="C72" s="1617" t="s">
        <v>9</v>
      </c>
      <c r="D72" s="1886">
        <v>12000</v>
      </c>
      <c r="E72" s="1886">
        <v>12000</v>
      </c>
      <c r="F72" s="1886">
        <v>12000</v>
      </c>
      <c r="G72" s="1887">
        <v>12000</v>
      </c>
      <c r="H72" s="1610"/>
      <c r="I72" s="1610"/>
      <c r="J72" s="1610"/>
    </row>
    <row r="73" spans="2:11" ht="19.5" thickBot="1" x14ac:dyDescent="0.25">
      <c r="B73" s="1610"/>
      <c r="C73" s="1617" t="s">
        <v>14</v>
      </c>
      <c r="D73" s="1886">
        <v>24000</v>
      </c>
      <c r="E73" s="1886">
        <v>26000</v>
      </c>
      <c r="F73" s="1886">
        <v>28000</v>
      </c>
      <c r="G73" s="1887">
        <v>30000</v>
      </c>
      <c r="H73" s="1610"/>
      <c r="I73" s="1610"/>
      <c r="J73" s="1610"/>
    </row>
    <row r="74" spans="2:11" ht="38.25" thickBot="1" x14ac:dyDescent="0.25">
      <c r="B74" s="1610"/>
      <c r="C74" s="1617" t="s">
        <v>23</v>
      </c>
      <c r="D74" s="1944">
        <f>D73/D72</f>
        <v>2</v>
      </c>
      <c r="E74" s="1944">
        <f t="shared" ref="E74:G74" si="2">E73/E72</f>
        <v>2.1666666666666665</v>
      </c>
      <c r="F74" s="1944">
        <f t="shared" si="2"/>
        <v>2.3333333333333335</v>
      </c>
      <c r="G74" s="1945">
        <f t="shared" si="2"/>
        <v>2.5</v>
      </c>
      <c r="H74" s="1610"/>
      <c r="I74" s="1610"/>
      <c r="J74" s="1610"/>
    </row>
    <row r="75" spans="2:11" ht="19.5" thickBot="1" x14ac:dyDescent="0.25">
      <c r="B75" s="1610"/>
      <c r="C75" s="1617" t="s">
        <v>15</v>
      </c>
      <c r="D75" s="1946"/>
      <c r="E75" s="1888">
        <f t="shared" ref="E75:G77" si="3">E72/D72-1</f>
        <v>0</v>
      </c>
      <c r="F75" s="1888">
        <f t="shared" si="3"/>
        <v>0</v>
      </c>
      <c r="G75" s="1889">
        <f t="shared" si="3"/>
        <v>0</v>
      </c>
      <c r="H75" s="1610"/>
      <c r="I75" s="1623"/>
      <c r="J75" s="1623"/>
      <c r="K75" s="1609"/>
    </row>
    <row r="76" spans="2:11" ht="38.25" thickBot="1" x14ac:dyDescent="0.25">
      <c r="B76" s="1610"/>
      <c r="C76" s="1617" t="s">
        <v>16</v>
      </c>
      <c r="D76" s="1946"/>
      <c r="E76" s="1888">
        <f t="shared" si="3"/>
        <v>8.3333333333333259E-2</v>
      </c>
      <c r="F76" s="1888">
        <f t="shared" si="3"/>
        <v>7.6923076923076872E-2</v>
      </c>
      <c r="G76" s="1889">
        <f t="shared" si="3"/>
        <v>7.1428571428571397E-2</v>
      </c>
      <c r="H76" s="1610"/>
      <c r="I76" s="1610"/>
      <c r="J76" s="1610"/>
    </row>
    <row r="77" spans="2:11" ht="38.25" thickBot="1" x14ac:dyDescent="0.25">
      <c r="B77" s="1610"/>
      <c r="C77" s="1617" t="s">
        <v>17</v>
      </c>
      <c r="D77" s="1946"/>
      <c r="E77" s="1888">
        <f t="shared" si="3"/>
        <v>8.3333333333333259E-2</v>
      </c>
      <c r="F77" s="1888">
        <f t="shared" si="3"/>
        <v>7.6923076923077094E-2</v>
      </c>
      <c r="G77" s="1889">
        <f t="shared" si="3"/>
        <v>7.1428571428571397E-2</v>
      </c>
      <c r="H77" s="1610"/>
      <c r="I77" s="1610"/>
      <c r="J77" s="1610"/>
    </row>
    <row r="78" spans="2:11" ht="15.75" customHeight="1" thickBot="1" x14ac:dyDescent="0.3">
      <c r="B78" s="1610"/>
      <c r="C78" s="1624" t="s">
        <v>1173</v>
      </c>
      <c r="D78" s="1947"/>
      <c r="E78" s="1947"/>
      <c r="F78" s="1947"/>
      <c r="G78" s="1948"/>
      <c r="H78" s="1610"/>
      <c r="I78" s="1610"/>
      <c r="J78" s="1610"/>
    </row>
    <row r="79" spans="2:11" ht="24.75" customHeight="1" x14ac:dyDescent="0.25">
      <c r="B79" s="1610"/>
      <c r="C79" s="1627"/>
      <c r="D79" s="1949">
        <v>2018</v>
      </c>
      <c r="E79" s="1949">
        <v>2019</v>
      </c>
      <c r="F79" s="1949">
        <v>2020</v>
      </c>
      <c r="G79" s="1949">
        <v>2021</v>
      </c>
      <c r="H79" s="1610"/>
      <c r="I79" s="1610"/>
      <c r="J79" s="1610"/>
    </row>
    <row r="80" spans="2:11" ht="15" customHeight="1" thickBot="1" x14ac:dyDescent="0.3">
      <c r="B80" s="1610"/>
      <c r="C80" s="1628"/>
      <c r="D80" s="1950" t="s">
        <v>6</v>
      </c>
      <c r="E80" s="1950" t="s">
        <v>7</v>
      </c>
      <c r="F80" s="1950" t="s">
        <v>7</v>
      </c>
      <c r="G80" s="1950" t="s">
        <v>7</v>
      </c>
      <c r="H80" s="1610"/>
      <c r="I80" s="1610"/>
      <c r="J80" s="1610"/>
    </row>
    <row r="81" spans="2:10" ht="19.5" thickBot="1" x14ac:dyDescent="0.3">
      <c r="B81" s="1610"/>
      <c r="C81" s="1617" t="s">
        <v>0</v>
      </c>
      <c r="D81" s="1951">
        <v>0</v>
      </c>
      <c r="E81" s="1951"/>
      <c r="F81" s="1951"/>
      <c r="G81" s="1951"/>
      <c r="H81" s="1610"/>
      <c r="I81" s="1610"/>
      <c r="J81" s="1610"/>
    </row>
    <row r="82" spans="2:10" ht="38.25" thickBot="1" x14ac:dyDescent="0.3">
      <c r="B82" s="1610"/>
      <c r="C82" s="1617" t="s">
        <v>49</v>
      </c>
      <c r="D82" s="1951">
        <v>0</v>
      </c>
      <c r="E82" s="1951"/>
      <c r="F82" s="1951"/>
      <c r="G82" s="1951"/>
      <c r="H82" s="1610"/>
      <c r="I82" s="1610"/>
      <c r="J82" s="1610"/>
    </row>
    <row r="83" spans="2:10" ht="19.5" thickBot="1" x14ac:dyDescent="0.25">
      <c r="B83" s="1610"/>
      <c r="C83" s="1617" t="s">
        <v>1</v>
      </c>
      <c r="D83" s="1886">
        <f>D73</f>
        <v>24000</v>
      </c>
      <c r="E83" s="1886">
        <f>E73</f>
        <v>26000</v>
      </c>
      <c r="F83" s="1886">
        <f>F73</f>
        <v>28000</v>
      </c>
      <c r="G83" s="1887">
        <f>G73</f>
        <v>30000</v>
      </c>
      <c r="H83" s="1610"/>
      <c r="I83" s="1610"/>
      <c r="J83" s="1610"/>
    </row>
    <row r="84" spans="2:10" ht="19.5" thickBot="1" x14ac:dyDescent="0.3">
      <c r="B84" s="1610"/>
      <c r="C84" s="1617" t="s">
        <v>2</v>
      </c>
      <c r="D84" s="1951">
        <v>0</v>
      </c>
      <c r="E84" s="1951"/>
      <c r="F84" s="1951"/>
      <c r="G84" s="1951"/>
      <c r="H84" s="1610"/>
      <c r="I84" s="1610"/>
      <c r="J84" s="1610"/>
    </row>
    <row r="85" spans="2:10" ht="38.25" thickBot="1" x14ac:dyDescent="0.3">
      <c r="B85" s="1610"/>
      <c r="C85" s="1617" t="s">
        <v>28</v>
      </c>
      <c r="D85" s="1951">
        <v>0</v>
      </c>
      <c r="E85" s="1951"/>
      <c r="F85" s="1951"/>
      <c r="G85" s="1951"/>
      <c r="H85" s="1610"/>
      <c r="I85" s="1610"/>
      <c r="J85" s="1610"/>
    </row>
    <row r="86" spans="2:10" ht="19.5" thickBot="1" x14ac:dyDescent="0.3">
      <c r="B86" s="1610"/>
      <c r="C86" s="1617" t="s">
        <v>30</v>
      </c>
      <c r="D86" s="1951">
        <v>0</v>
      </c>
      <c r="E86" s="1951"/>
      <c r="F86" s="1951"/>
      <c r="G86" s="1951"/>
      <c r="H86" s="1610"/>
      <c r="I86" s="1610"/>
      <c r="J86" s="1610"/>
    </row>
    <row r="87" spans="2:10" ht="38.25" thickBot="1" x14ac:dyDescent="0.3">
      <c r="B87" s="1610"/>
      <c r="C87" s="1617" t="s">
        <v>3</v>
      </c>
      <c r="D87" s="1951"/>
      <c r="E87" s="1951"/>
      <c r="F87" s="1951"/>
      <c r="G87" s="1951"/>
      <c r="H87" s="1610"/>
      <c r="I87" s="1610"/>
      <c r="J87" s="1610"/>
    </row>
    <row r="88" spans="2:10" ht="18.75" x14ac:dyDescent="0.2">
      <c r="B88" s="1610"/>
      <c r="C88" s="1630" t="s">
        <v>68</v>
      </c>
      <c r="D88" s="1886">
        <f>SUM(D81:D87)</f>
        <v>24000</v>
      </c>
      <c r="E88" s="1886">
        <f>SUM(E81:E87)</f>
        <v>26000</v>
      </c>
      <c r="F88" s="1886">
        <f>SUM(F81:F87)</f>
        <v>28000</v>
      </c>
      <c r="G88" s="1887">
        <f>SUM(G81:G87)</f>
        <v>30000</v>
      </c>
      <c r="H88" s="1610"/>
      <c r="I88" s="1610"/>
      <c r="J88" s="1610"/>
    </row>
    <row r="89" spans="2:10" ht="19.5" thickBot="1" x14ac:dyDescent="0.35">
      <c r="B89" s="1610"/>
      <c r="C89" s="1631" t="s">
        <v>70</v>
      </c>
      <c r="D89" s="1952">
        <f>D88-D73</f>
        <v>0</v>
      </c>
      <c r="E89" s="1952">
        <f>E88-E73</f>
        <v>0</v>
      </c>
      <c r="F89" s="1952">
        <f>F88-F73</f>
        <v>0</v>
      </c>
      <c r="G89" s="1952">
        <f>G88-G73</f>
        <v>0</v>
      </c>
      <c r="H89" s="1610"/>
      <c r="I89" s="1610"/>
      <c r="J89" s="1610"/>
    </row>
    <row r="90" spans="2:10" ht="46.5" customHeight="1" thickBot="1" x14ac:dyDescent="0.3">
      <c r="B90" s="1610"/>
      <c r="C90" s="1621" t="s">
        <v>666</v>
      </c>
      <c r="D90" s="2422" t="s">
        <v>665</v>
      </c>
      <c r="E90" s="2423"/>
      <c r="F90" s="2423"/>
      <c r="G90" s="2424"/>
      <c r="H90" s="1610"/>
      <c r="I90" s="1610"/>
      <c r="J90" s="1610"/>
    </row>
    <row r="91" spans="2:10" ht="49.5" customHeight="1" thickBot="1" x14ac:dyDescent="0.3">
      <c r="B91" s="1610"/>
      <c r="C91" s="1617" t="s">
        <v>10</v>
      </c>
      <c r="D91" s="2422" t="s">
        <v>665</v>
      </c>
      <c r="E91" s="2423"/>
      <c r="F91" s="2423"/>
      <c r="G91" s="2424"/>
      <c r="H91" s="1610"/>
      <c r="I91" s="1610"/>
      <c r="J91" s="1610"/>
    </row>
    <row r="92" spans="2:10" ht="19.5" thickBot="1" x14ac:dyDescent="0.3">
      <c r="B92" s="1610"/>
      <c r="C92" s="1617" t="s">
        <v>13</v>
      </c>
      <c r="D92" s="2425" t="s">
        <v>664</v>
      </c>
      <c r="E92" s="2426"/>
      <c r="F92" s="2426"/>
      <c r="G92" s="2427"/>
      <c r="H92" s="1610"/>
      <c r="I92" s="1610"/>
      <c r="J92" s="1610"/>
    </row>
    <row r="93" spans="2:10" ht="15.75" customHeight="1" x14ac:dyDescent="0.25">
      <c r="B93" s="1610"/>
      <c r="C93" s="2428"/>
      <c r="D93" s="1614">
        <v>2018</v>
      </c>
      <c r="E93" s="1614">
        <v>2019</v>
      </c>
      <c r="F93" s="1614">
        <v>2020</v>
      </c>
      <c r="G93" s="1614">
        <v>2021</v>
      </c>
      <c r="H93" s="1610"/>
      <c r="I93" s="1610"/>
      <c r="J93" s="1610"/>
    </row>
    <row r="94" spans="2:10" ht="15.75" customHeight="1" thickBot="1" x14ac:dyDescent="0.3">
      <c r="B94" s="1610"/>
      <c r="C94" s="2429"/>
      <c r="D94" s="1615" t="s">
        <v>6</v>
      </c>
      <c r="E94" s="1615" t="s">
        <v>7</v>
      </c>
      <c r="F94" s="1615" t="s">
        <v>7</v>
      </c>
      <c r="G94" s="1615" t="s">
        <v>7</v>
      </c>
      <c r="H94" s="1610"/>
      <c r="I94" s="1610"/>
      <c r="J94" s="1610"/>
    </row>
    <row r="95" spans="2:10" ht="19.5" thickBot="1" x14ac:dyDescent="0.3">
      <c r="B95" s="1610"/>
      <c r="C95" s="1617" t="s">
        <v>9</v>
      </c>
      <c r="D95" s="1911">
        <v>48</v>
      </c>
      <c r="E95" s="1911">
        <v>48</v>
      </c>
      <c r="F95" s="1911">
        <v>48</v>
      </c>
      <c r="G95" s="1912">
        <v>48</v>
      </c>
      <c r="H95" s="1610"/>
      <c r="I95" s="1610"/>
      <c r="J95" s="1610"/>
    </row>
    <row r="96" spans="2:10" ht="19.5" thickBot="1" x14ac:dyDescent="0.3">
      <c r="B96" s="1610"/>
      <c r="C96" s="1617" t="s">
        <v>14</v>
      </c>
      <c r="D96" s="1911">
        <v>51094</v>
      </c>
      <c r="E96" s="1911">
        <v>52100</v>
      </c>
      <c r="F96" s="1911">
        <v>53000</v>
      </c>
      <c r="G96" s="1912">
        <v>53800</v>
      </c>
      <c r="H96" s="1610"/>
      <c r="I96" s="1610"/>
      <c r="J96" s="1610"/>
    </row>
    <row r="97" spans="2:11" ht="38.25" thickBot="1" x14ac:dyDescent="0.3">
      <c r="B97" s="1610"/>
      <c r="C97" s="1617" t="s">
        <v>23</v>
      </c>
      <c r="D97" s="1911">
        <f>D96/D95</f>
        <v>1064.4583333333333</v>
      </c>
      <c r="E97" s="1911">
        <f>E96/E95</f>
        <v>1085.4166666666667</v>
      </c>
      <c r="F97" s="1911">
        <f>F96/F95</f>
        <v>1104.1666666666667</v>
      </c>
      <c r="G97" s="1912">
        <f>G96/G95</f>
        <v>1120.8333333333333</v>
      </c>
      <c r="H97" s="1610"/>
      <c r="I97" s="1610"/>
      <c r="J97" s="1610"/>
    </row>
    <row r="98" spans="2:11" ht="19.5" thickBot="1" x14ac:dyDescent="0.3">
      <c r="B98" s="1610"/>
      <c r="C98" s="1617" t="s">
        <v>15</v>
      </c>
      <c r="D98" s="1883"/>
      <c r="E98" s="1884">
        <f t="shared" ref="E98:G100" si="4">E95/D95-1</f>
        <v>0</v>
      </c>
      <c r="F98" s="1884">
        <f t="shared" si="4"/>
        <v>0</v>
      </c>
      <c r="G98" s="1885">
        <f t="shared" si="4"/>
        <v>0</v>
      </c>
      <c r="H98" s="1610"/>
      <c r="I98" s="1623"/>
      <c r="J98" s="1623"/>
      <c r="K98" s="1609"/>
    </row>
    <row r="99" spans="2:11" ht="38.25" thickBot="1" x14ac:dyDescent="0.3">
      <c r="B99" s="1610"/>
      <c r="C99" s="1617" t="s">
        <v>16</v>
      </c>
      <c r="D99" s="1883"/>
      <c r="E99" s="1917">
        <f t="shared" si="4"/>
        <v>1.9689200297490883E-2</v>
      </c>
      <c r="F99" s="1917">
        <f t="shared" si="4"/>
        <v>1.7274472168905985E-2</v>
      </c>
      <c r="G99" s="1918">
        <f t="shared" si="4"/>
        <v>1.5094339622641506E-2</v>
      </c>
      <c r="H99" s="1610"/>
      <c r="I99" s="1610"/>
      <c r="J99" s="1610"/>
    </row>
    <row r="100" spans="2:11" ht="38.25" thickBot="1" x14ac:dyDescent="0.3">
      <c r="B100" s="1610"/>
      <c r="C100" s="1617" t="s">
        <v>17</v>
      </c>
      <c r="D100" s="1883"/>
      <c r="E100" s="1917">
        <f t="shared" si="4"/>
        <v>1.9689200297491105E-2</v>
      </c>
      <c r="F100" s="1917">
        <f t="shared" si="4"/>
        <v>1.7274472168905985E-2</v>
      </c>
      <c r="G100" s="1918">
        <f t="shared" si="4"/>
        <v>1.5094339622641284E-2</v>
      </c>
      <c r="H100" s="1610"/>
      <c r="I100" s="1610"/>
      <c r="J100" s="1610"/>
    </row>
    <row r="101" spans="2:11" ht="25.9" customHeight="1" thickBot="1" x14ac:dyDescent="0.3">
      <c r="B101" s="1610"/>
      <c r="C101" s="1624" t="s">
        <v>1174</v>
      </c>
      <c r="D101" s="1904"/>
      <c r="E101" s="1904"/>
      <c r="F101" s="1904"/>
      <c r="G101" s="1905"/>
      <c r="H101" s="1610"/>
      <c r="I101" s="1610"/>
      <c r="J101" s="1610"/>
    </row>
    <row r="102" spans="2:11" ht="25.5" customHeight="1" x14ac:dyDescent="0.25">
      <c r="B102" s="1610"/>
      <c r="C102" s="1627"/>
      <c r="D102" s="1906">
        <v>2018</v>
      </c>
      <c r="E102" s="1906">
        <v>2019</v>
      </c>
      <c r="F102" s="1906">
        <v>2020</v>
      </c>
      <c r="G102" s="1906">
        <v>2021</v>
      </c>
      <c r="H102" s="1610"/>
      <c r="I102" s="1610"/>
      <c r="J102" s="1610"/>
    </row>
    <row r="103" spans="2:11" ht="30.75" customHeight="1" thickBot="1" x14ac:dyDescent="0.3">
      <c r="B103" s="1610"/>
      <c r="C103" s="1628"/>
      <c r="D103" s="1907" t="s">
        <v>663</v>
      </c>
      <c r="E103" s="1907" t="s">
        <v>7</v>
      </c>
      <c r="F103" s="1907" t="s">
        <v>7</v>
      </c>
      <c r="G103" s="1907" t="s">
        <v>7</v>
      </c>
      <c r="H103" s="1610"/>
      <c r="I103" s="1610"/>
      <c r="J103" s="1610"/>
    </row>
    <row r="104" spans="2:11" ht="19.5" thickBot="1" x14ac:dyDescent="0.25">
      <c r="B104" s="1610"/>
      <c r="C104" s="1617" t="s">
        <v>0</v>
      </c>
      <c r="D104" s="1879">
        <v>28480</v>
      </c>
      <c r="E104" s="1879">
        <v>28480</v>
      </c>
      <c r="F104" s="1879">
        <v>28480</v>
      </c>
      <c r="G104" s="1880">
        <v>28480</v>
      </c>
      <c r="H104" s="1610"/>
      <c r="I104" s="1610"/>
      <c r="J104" s="1610"/>
    </row>
    <row r="105" spans="2:11" ht="38.25" thickBot="1" x14ac:dyDescent="0.25">
      <c r="B105" s="1610"/>
      <c r="C105" s="1617" t="s">
        <v>49</v>
      </c>
      <c r="D105" s="1879">
        <v>4614</v>
      </c>
      <c r="E105" s="1879">
        <v>4614</v>
      </c>
      <c r="F105" s="1879">
        <v>4614</v>
      </c>
      <c r="G105" s="1880">
        <v>4614</v>
      </c>
      <c r="H105" s="1610"/>
      <c r="I105" s="1610"/>
      <c r="J105" s="1610"/>
    </row>
    <row r="106" spans="2:11" ht="19.5" thickBot="1" x14ac:dyDescent="0.25">
      <c r="B106" s="1610"/>
      <c r="C106" s="1617" t="s">
        <v>1</v>
      </c>
      <c r="D106" s="1879">
        <v>18000</v>
      </c>
      <c r="E106" s="1879">
        <v>19006</v>
      </c>
      <c r="F106" s="1879">
        <v>19906</v>
      </c>
      <c r="G106" s="1880">
        <v>20706</v>
      </c>
      <c r="H106" s="1610"/>
      <c r="I106" s="1610"/>
      <c r="J106" s="1610"/>
    </row>
    <row r="107" spans="2:11" ht="19.5" thickBot="1" x14ac:dyDescent="0.3">
      <c r="B107" s="1610"/>
      <c r="C107" s="1617" t="s">
        <v>2</v>
      </c>
      <c r="D107" s="1908">
        <v>0</v>
      </c>
      <c r="E107" s="1908">
        <v>0</v>
      </c>
      <c r="F107" s="1908">
        <v>0</v>
      </c>
      <c r="G107" s="1908">
        <v>0</v>
      </c>
      <c r="H107" s="1610"/>
      <c r="I107" s="1610"/>
      <c r="J107" s="1610"/>
    </row>
    <row r="108" spans="2:11" ht="38.25" thickBot="1" x14ac:dyDescent="0.3">
      <c r="B108" s="1610"/>
      <c r="C108" s="1617" t="s">
        <v>28</v>
      </c>
      <c r="D108" s="1908">
        <v>0</v>
      </c>
      <c r="E108" s="1908">
        <v>0</v>
      </c>
      <c r="F108" s="1908">
        <v>0</v>
      </c>
      <c r="G108" s="1908">
        <v>0</v>
      </c>
      <c r="H108" s="1610"/>
      <c r="I108" s="1610"/>
      <c r="J108" s="1610"/>
    </row>
    <row r="109" spans="2:11" ht="19.5" thickBot="1" x14ac:dyDescent="0.3">
      <c r="B109" s="1610"/>
      <c r="C109" s="1617" t="s">
        <v>30</v>
      </c>
      <c r="D109" s="1908">
        <v>0</v>
      </c>
      <c r="E109" s="1908">
        <v>0</v>
      </c>
      <c r="F109" s="1908">
        <v>0</v>
      </c>
      <c r="G109" s="1908">
        <v>0</v>
      </c>
      <c r="H109" s="1610"/>
      <c r="I109" s="1610"/>
      <c r="J109" s="1610"/>
    </row>
    <row r="110" spans="2:11" ht="38.25" thickBot="1" x14ac:dyDescent="0.3">
      <c r="B110" s="1610"/>
      <c r="C110" s="1617" t="s">
        <v>3</v>
      </c>
      <c r="D110" s="1908">
        <v>0</v>
      </c>
      <c r="E110" s="1908">
        <v>0</v>
      </c>
      <c r="F110" s="1908">
        <v>0</v>
      </c>
      <c r="G110" s="1908">
        <v>0</v>
      </c>
      <c r="H110" s="1610"/>
      <c r="I110" s="1610"/>
      <c r="J110" s="1610"/>
    </row>
    <row r="111" spans="2:11" ht="18.75" x14ac:dyDescent="0.25">
      <c r="B111" s="1610"/>
      <c r="C111" s="1630" t="s">
        <v>641</v>
      </c>
      <c r="D111" s="1911">
        <f>SUM(D104:D110)</f>
        <v>51094</v>
      </c>
      <c r="E111" s="1911">
        <f>SUM(E104:E110)</f>
        <v>52100</v>
      </c>
      <c r="F111" s="1911">
        <f>SUM(F104:F110)</f>
        <v>53000</v>
      </c>
      <c r="G111" s="1912">
        <f>SUM(G104:G110)</f>
        <v>53800</v>
      </c>
      <c r="H111" s="1610"/>
      <c r="I111" s="1610"/>
      <c r="J111" s="1610"/>
    </row>
    <row r="112" spans="2:11" ht="19.5" thickBot="1" x14ac:dyDescent="0.3">
      <c r="B112" s="1610"/>
      <c r="C112" s="1631" t="s">
        <v>70</v>
      </c>
      <c r="D112" s="1902">
        <f>D111-D96</f>
        <v>0</v>
      </c>
      <c r="E112" s="1902">
        <f>E111-E96</f>
        <v>0</v>
      </c>
      <c r="F112" s="1902">
        <f>F111-F96</f>
        <v>0</v>
      </c>
      <c r="G112" s="1902">
        <f>G111-G96</f>
        <v>0</v>
      </c>
      <c r="H112" s="1610"/>
      <c r="I112" s="1610"/>
      <c r="J112" s="1610"/>
    </row>
    <row r="113" spans="2:11" ht="166.5" customHeight="1" thickBot="1" x14ac:dyDescent="0.3">
      <c r="B113" s="1610"/>
      <c r="C113" s="1940" t="s">
        <v>497</v>
      </c>
      <c r="D113" s="2466" t="s">
        <v>662</v>
      </c>
      <c r="E113" s="2467"/>
      <c r="F113" s="2467"/>
      <c r="G113" s="2468"/>
      <c r="H113" s="1610"/>
      <c r="I113" s="1610"/>
      <c r="J113" s="1610"/>
    </row>
    <row r="114" spans="2:11" ht="31.5" customHeight="1" thickBot="1" x14ac:dyDescent="0.3">
      <c r="B114" s="1610"/>
      <c r="C114" s="2462" t="s">
        <v>506</v>
      </c>
      <c r="D114" s="2463"/>
      <c r="E114" s="2463"/>
      <c r="F114" s="2463"/>
      <c r="G114" s="2464"/>
      <c r="H114" s="1610"/>
      <c r="I114" s="1610"/>
      <c r="J114" s="1620"/>
    </row>
    <row r="115" spans="2:11" ht="51" customHeight="1" thickBot="1" x14ac:dyDescent="0.3">
      <c r="B115" s="1610"/>
      <c r="C115" s="1616" t="s">
        <v>661</v>
      </c>
      <c r="D115" s="1965">
        <f>D116/D117</f>
        <v>0.64029979510406554</v>
      </c>
      <c r="E115" s="1965">
        <f>E116/E117</f>
        <v>0.6490489724529952</v>
      </c>
      <c r="F115" s="1965">
        <f>F116/F117</f>
        <v>0.68574753407957445</v>
      </c>
      <c r="G115" s="1966">
        <f>G116/G117</f>
        <v>0.79020566419420091</v>
      </c>
      <c r="H115" s="1610"/>
      <c r="I115" s="1610"/>
      <c r="J115" s="1610"/>
    </row>
    <row r="116" spans="2:11" ht="63" customHeight="1" thickBot="1" x14ac:dyDescent="0.3">
      <c r="B116" s="1610"/>
      <c r="C116" s="1616" t="s">
        <v>660</v>
      </c>
      <c r="D116" s="1894">
        <v>190000</v>
      </c>
      <c r="E116" s="1894">
        <v>190000</v>
      </c>
      <c r="F116" s="1894">
        <v>198000</v>
      </c>
      <c r="G116" s="1895">
        <v>225000</v>
      </c>
      <c r="H116" s="1610"/>
      <c r="I116" s="1610"/>
      <c r="J116" s="1610"/>
    </row>
    <row r="117" spans="2:11" ht="60" customHeight="1" thickBot="1" x14ac:dyDescent="0.3">
      <c r="B117" s="1610"/>
      <c r="C117" s="1616" t="s">
        <v>1207</v>
      </c>
      <c r="D117" s="1894">
        <v>296736</v>
      </c>
      <c r="E117" s="1894">
        <f>D117-4000</f>
        <v>292736</v>
      </c>
      <c r="F117" s="1894">
        <f>E117-4000</f>
        <v>288736</v>
      </c>
      <c r="G117" s="1895">
        <f>F117-4000</f>
        <v>284736</v>
      </c>
      <c r="H117" s="1610"/>
      <c r="I117" s="1610"/>
      <c r="J117" s="1610"/>
    </row>
    <row r="118" spans="2:11" ht="36" customHeight="1" thickBot="1" x14ac:dyDescent="0.3">
      <c r="B118" s="1610"/>
      <c r="C118" s="2441" t="s">
        <v>536</v>
      </c>
      <c r="D118" s="2442"/>
      <c r="E118" s="2442"/>
      <c r="F118" s="2442"/>
      <c r="G118" s="2443"/>
      <c r="H118" s="1610"/>
      <c r="I118" s="1610"/>
      <c r="J118" s="1610"/>
    </row>
    <row r="119" spans="2:11" ht="41.25" customHeight="1" thickBot="1" x14ac:dyDescent="0.3">
      <c r="B119" s="1610"/>
      <c r="C119" s="2441" t="s">
        <v>121</v>
      </c>
      <c r="D119" s="2442"/>
      <c r="E119" s="2442"/>
      <c r="F119" s="2442"/>
      <c r="G119" s="2443"/>
      <c r="H119" s="1610"/>
      <c r="I119" s="1610"/>
      <c r="J119" s="1610"/>
    </row>
    <row r="120" spans="2:11" ht="90" customHeight="1" thickBot="1" x14ac:dyDescent="0.3">
      <c r="B120" s="1610"/>
      <c r="C120" s="1621" t="s">
        <v>659</v>
      </c>
      <c r="D120" s="2422" t="s">
        <v>658</v>
      </c>
      <c r="E120" s="2423"/>
      <c r="F120" s="2423"/>
      <c r="G120" s="2424"/>
      <c r="H120" s="1610"/>
      <c r="I120" s="1610"/>
      <c r="J120" s="1610"/>
    </row>
    <row r="121" spans="2:11" ht="69.75" customHeight="1" thickBot="1" x14ac:dyDescent="0.3">
      <c r="B121" s="1610"/>
      <c r="C121" s="1617" t="s">
        <v>10</v>
      </c>
      <c r="D121" s="2422" t="s">
        <v>657</v>
      </c>
      <c r="E121" s="2423"/>
      <c r="F121" s="2423"/>
      <c r="G121" s="2424"/>
      <c r="H121" s="1610"/>
      <c r="I121" s="1610"/>
      <c r="J121" s="1610"/>
    </row>
    <row r="122" spans="2:11" ht="26.25" customHeight="1" thickBot="1" x14ac:dyDescent="0.3">
      <c r="B122" s="1610"/>
      <c r="C122" s="1617" t="s">
        <v>13</v>
      </c>
      <c r="D122" s="2425" t="s">
        <v>656</v>
      </c>
      <c r="E122" s="2426"/>
      <c r="F122" s="2426"/>
      <c r="G122" s="2427"/>
      <c r="H122" s="1610"/>
      <c r="I122" s="1610"/>
      <c r="J122" s="1610"/>
    </row>
    <row r="123" spans="2:11" ht="15" customHeight="1" x14ac:dyDescent="0.25">
      <c r="B123" s="1610"/>
      <c r="C123" s="2428"/>
      <c r="D123" s="1614">
        <v>2018</v>
      </c>
      <c r="E123" s="1614">
        <v>2019</v>
      </c>
      <c r="F123" s="1614">
        <v>2020</v>
      </c>
      <c r="G123" s="1614">
        <v>2021</v>
      </c>
      <c r="H123" s="1610"/>
      <c r="I123" s="1610"/>
      <c r="J123" s="1610"/>
    </row>
    <row r="124" spans="2:11" ht="20.25" customHeight="1" thickBot="1" x14ac:dyDescent="0.3">
      <c r="B124" s="1610"/>
      <c r="C124" s="2429"/>
      <c r="D124" s="1615" t="s">
        <v>6</v>
      </c>
      <c r="E124" s="1615" t="s">
        <v>7</v>
      </c>
      <c r="F124" s="1615" t="s">
        <v>7</v>
      </c>
      <c r="G124" s="1615" t="s">
        <v>7</v>
      </c>
      <c r="H124" s="1610"/>
      <c r="I124" s="1610"/>
      <c r="J124" s="1610"/>
    </row>
    <row r="125" spans="2:11" ht="18.75" customHeight="1" thickBot="1" x14ac:dyDescent="0.25">
      <c r="B125" s="1610"/>
      <c r="C125" s="1617" t="s">
        <v>9</v>
      </c>
      <c r="D125" s="1879">
        <v>190000</v>
      </c>
      <c r="E125" s="1879">
        <v>190000</v>
      </c>
      <c r="F125" s="1879">
        <v>198000</v>
      </c>
      <c r="G125" s="1880">
        <v>225000</v>
      </c>
      <c r="H125" s="1610"/>
      <c r="I125" s="1610"/>
      <c r="J125" s="1610"/>
    </row>
    <row r="126" spans="2:11" ht="24.75" customHeight="1" thickBot="1" x14ac:dyDescent="0.25">
      <c r="B126" s="1610"/>
      <c r="C126" s="1617" t="s">
        <v>14</v>
      </c>
      <c r="D126" s="1879">
        <v>545000</v>
      </c>
      <c r="E126" s="1879">
        <v>585000</v>
      </c>
      <c r="F126" s="1879">
        <v>615000</v>
      </c>
      <c r="G126" s="1880">
        <v>705000</v>
      </c>
      <c r="H126" s="1610"/>
      <c r="I126" s="1610"/>
      <c r="J126" s="1610"/>
    </row>
    <row r="127" spans="2:11" ht="24.75" customHeight="1" thickBot="1" x14ac:dyDescent="0.25">
      <c r="B127" s="1610"/>
      <c r="C127" s="1617" t="s">
        <v>23</v>
      </c>
      <c r="D127" s="1967">
        <v>2.87</v>
      </c>
      <c r="E127" s="1967">
        <v>3.08</v>
      </c>
      <c r="F127" s="1967">
        <f>F126/F125</f>
        <v>3.106060606060606</v>
      </c>
      <c r="G127" s="1968">
        <f>G126/G125</f>
        <v>3.1333333333333333</v>
      </c>
      <c r="H127" s="1610"/>
      <c r="I127" s="1610"/>
      <c r="J127" s="1610"/>
    </row>
    <row r="128" spans="2:11" ht="24.75" customHeight="1" thickBot="1" x14ac:dyDescent="0.3">
      <c r="B128" s="1610"/>
      <c r="C128" s="1617" t="s">
        <v>15</v>
      </c>
      <c r="D128" s="1903"/>
      <c r="E128" s="1903">
        <f t="shared" ref="E128:G130" si="5">E125/D125-1</f>
        <v>0</v>
      </c>
      <c r="F128" s="1903">
        <f t="shared" si="5"/>
        <v>4.2105263157894646E-2</v>
      </c>
      <c r="G128" s="1943">
        <f t="shared" si="5"/>
        <v>0.13636363636363646</v>
      </c>
      <c r="H128" s="1610"/>
      <c r="I128" s="1623"/>
      <c r="J128" s="1623"/>
      <c r="K128" s="1609"/>
    </row>
    <row r="129" spans="2:10" ht="18.75" customHeight="1" thickBot="1" x14ac:dyDescent="0.3">
      <c r="B129" s="1610"/>
      <c r="C129" s="1617" t="s">
        <v>16</v>
      </c>
      <c r="D129" s="1903"/>
      <c r="E129" s="1903">
        <f t="shared" si="5"/>
        <v>7.3394495412844041E-2</v>
      </c>
      <c r="F129" s="1903">
        <f t="shared" si="5"/>
        <v>5.1282051282051322E-2</v>
      </c>
      <c r="G129" s="1943">
        <f t="shared" si="5"/>
        <v>0.14634146341463405</v>
      </c>
      <c r="H129" s="1610"/>
      <c r="I129" s="1610"/>
      <c r="J129" s="1610"/>
    </row>
    <row r="130" spans="2:10" ht="18.75" customHeight="1" thickBot="1" x14ac:dyDescent="0.3">
      <c r="B130" s="1610"/>
      <c r="C130" s="1617" t="s">
        <v>17</v>
      </c>
      <c r="D130" s="1903"/>
      <c r="E130" s="1903">
        <f t="shared" si="5"/>
        <v>7.3170731707317138E-2</v>
      </c>
      <c r="F130" s="1903">
        <f t="shared" si="5"/>
        <v>8.4612357339628463E-3</v>
      </c>
      <c r="G130" s="1943">
        <f t="shared" si="5"/>
        <v>8.7804878048780566E-3</v>
      </c>
      <c r="H130" s="1610"/>
      <c r="I130" s="1610"/>
      <c r="J130" s="1610"/>
    </row>
    <row r="131" spans="2:10" ht="24" customHeight="1" thickBot="1" x14ac:dyDescent="0.3">
      <c r="B131" s="1610"/>
      <c r="C131" s="2444" t="s">
        <v>1173</v>
      </c>
      <c r="D131" s="2445"/>
      <c r="E131" s="2445"/>
      <c r="F131" s="2445"/>
      <c r="G131" s="2446"/>
      <c r="H131" s="1610"/>
      <c r="I131" s="1610"/>
      <c r="J131" s="1610"/>
    </row>
    <row r="132" spans="2:10" ht="15" customHeight="1" x14ac:dyDescent="0.25">
      <c r="B132" s="1610"/>
      <c r="C132" s="2428"/>
      <c r="D132" s="1614">
        <v>2018</v>
      </c>
      <c r="E132" s="1614">
        <v>2019</v>
      </c>
      <c r="F132" s="1614">
        <v>2020</v>
      </c>
      <c r="G132" s="1614">
        <v>2021</v>
      </c>
      <c r="H132" s="1610"/>
      <c r="I132" s="1610"/>
      <c r="J132" s="1610"/>
    </row>
    <row r="133" spans="2:10" ht="15" customHeight="1" thickBot="1" x14ac:dyDescent="0.3">
      <c r="B133" s="1610"/>
      <c r="C133" s="2429"/>
      <c r="D133" s="1615" t="s">
        <v>6</v>
      </c>
      <c r="E133" s="1615" t="s">
        <v>7</v>
      </c>
      <c r="F133" s="1615" t="s">
        <v>7</v>
      </c>
      <c r="G133" s="1615" t="s">
        <v>7</v>
      </c>
      <c r="H133" s="1610"/>
      <c r="I133" s="1610"/>
      <c r="J133" s="1610"/>
    </row>
    <row r="134" spans="2:10" ht="15" customHeight="1" thickBot="1" x14ac:dyDescent="0.3">
      <c r="B134" s="1610"/>
      <c r="C134" s="1617" t="s">
        <v>0</v>
      </c>
      <c r="D134" s="1908">
        <v>0</v>
      </c>
      <c r="E134" s="1908">
        <v>0</v>
      </c>
      <c r="F134" s="1908">
        <v>0</v>
      </c>
      <c r="G134" s="1908">
        <v>0</v>
      </c>
      <c r="H134" s="1610"/>
      <c r="I134" s="1610"/>
      <c r="J134" s="1610"/>
    </row>
    <row r="135" spans="2:10" ht="38.25" thickBot="1" x14ac:dyDescent="0.3">
      <c r="B135" s="1610"/>
      <c r="C135" s="1617" t="s">
        <v>49</v>
      </c>
      <c r="D135" s="1908">
        <v>0</v>
      </c>
      <c r="E135" s="1908">
        <v>0</v>
      </c>
      <c r="F135" s="1908">
        <v>0</v>
      </c>
      <c r="G135" s="1908">
        <v>0</v>
      </c>
      <c r="H135" s="1610"/>
      <c r="I135" s="1610"/>
      <c r="J135" s="1610"/>
    </row>
    <row r="136" spans="2:10" ht="19.5" thickBot="1" x14ac:dyDescent="0.3">
      <c r="B136" s="1610"/>
      <c r="C136" s="1617" t="s">
        <v>1</v>
      </c>
      <c r="D136" s="1908">
        <v>0</v>
      </c>
      <c r="E136" s="1908">
        <v>0</v>
      </c>
      <c r="F136" s="1908">
        <v>0</v>
      </c>
      <c r="G136" s="1908">
        <v>0</v>
      </c>
      <c r="H136" s="1610"/>
      <c r="I136" s="1610"/>
      <c r="J136" s="1610"/>
    </row>
    <row r="137" spans="2:10" ht="19.5" thickBot="1" x14ac:dyDescent="0.3">
      <c r="B137" s="1610"/>
      <c r="C137" s="1617" t="s">
        <v>2</v>
      </c>
      <c r="D137" s="1908">
        <v>0</v>
      </c>
      <c r="E137" s="1908">
        <v>0</v>
      </c>
      <c r="F137" s="1908">
        <v>0</v>
      </c>
      <c r="G137" s="1908">
        <v>0</v>
      </c>
      <c r="H137" s="1610"/>
      <c r="I137" s="1610"/>
      <c r="J137" s="1610"/>
    </row>
    <row r="138" spans="2:10" ht="38.25" thickBot="1" x14ac:dyDescent="0.3">
      <c r="B138" s="1610"/>
      <c r="C138" s="1617" t="s">
        <v>28</v>
      </c>
      <c r="D138" s="1908">
        <v>0</v>
      </c>
      <c r="E138" s="1908">
        <v>0</v>
      </c>
      <c r="F138" s="1908">
        <v>0</v>
      </c>
      <c r="G138" s="1908">
        <v>0</v>
      </c>
      <c r="H138" s="1610"/>
      <c r="I138" s="1610"/>
      <c r="J138" s="1610"/>
    </row>
    <row r="139" spans="2:10" ht="19.5" thickBot="1" x14ac:dyDescent="0.3">
      <c r="B139" s="1610"/>
      <c r="C139" s="1617" t="s">
        <v>30</v>
      </c>
      <c r="D139" s="1908">
        <v>0</v>
      </c>
      <c r="E139" s="1908">
        <v>0</v>
      </c>
      <c r="F139" s="1908">
        <v>0</v>
      </c>
      <c r="G139" s="1908">
        <v>0</v>
      </c>
      <c r="H139" s="1610"/>
      <c r="I139" s="1610"/>
      <c r="J139" s="1610"/>
    </row>
    <row r="140" spans="2:10" ht="38.25" thickBot="1" x14ac:dyDescent="0.25">
      <c r="B140" s="1610"/>
      <c r="C140" s="1617" t="s">
        <v>3</v>
      </c>
      <c r="D140" s="1879">
        <f>D126</f>
        <v>545000</v>
      </c>
      <c r="E140" s="1879">
        <f>E126</f>
        <v>585000</v>
      </c>
      <c r="F140" s="1879">
        <f>F126</f>
        <v>615000</v>
      </c>
      <c r="G140" s="1880">
        <f>G126</f>
        <v>705000</v>
      </c>
      <c r="H140" s="1610"/>
      <c r="I140" s="1610"/>
      <c r="J140" s="1610"/>
    </row>
    <row r="141" spans="2:10" ht="18.75" x14ac:dyDescent="0.2">
      <c r="B141" s="1610"/>
      <c r="C141" s="1630" t="s">
        <v>655</v>
      </c>
      <c r="D141" s="1879">
        <f>D140+D139+D138+D137+D136+D135+D134</f>
        <v>545000</v>
      </c>
      <c r="E141" s="1879">
        <f>E140+E139+E138+E137+E136+E135+E134</f>
        <v>585000</v>
      </c>
      <c r="F141" s="1879">
        <f>F140+F139+F138+F137+F136+F135+F134</f>
        <v>615000</v>
      </c>
      <c r="G141" s="1880">
        <f>G140+G139+G138+G137+G136+G135+G134</f>
        <v>705000</v>
      </c>
      <c r="H141" s="1610"/>
      <c r="I141" s="1610"/>
      <c r="J141" s="1610"/>
    </row>
    <row r="142" spans="2:10" ht="19.5" thickBot="1" x14ac:dyDescent="0.3">
      <c r="B142" s="1610"/>
      <c r="C142" s="1631" t="s">
        <v>70</v>
      </c>
      <c r="D142" s="1902">
        <f>D141-D126</f>
        <v>0</v>
      </c>
      <c r="E142" s="1902">
        <f>E141-E126</f>
        <v>0</v>
      </c>
      <c r="F142" s="1902">
        <f>F141-F126</f>
        <v>0</v>
      </c>
      <c r="G142" s="1902">
        <f>G141-G126</f>
        <v>0</v>
      </c>
      <c r="H142" s="1610"/>
      <c r="I142" s="1610"/>
      <c r="J142" s="1610"/>
    </row>
    <row r="143" spans="2:10" ht="78" customHeight="1" thickBot="1" x14ac:dyDescent="0.3">
      <c r="B143" s="1610"/>
      <c r="C143" s="1940" t="s">
        <v>512</v>
      </c>
      <c r="D143" s="2466" t="s">
        <v>654</v>
      </c>
      <c r="E143" s="2467"/>
      <c r="F143" s="2467"/>
      <c r="G143" s="2468"/>
      <c r="H143" s="1610"/>
      <c r="I143" s="1610"/>
      <c r="J143" s="1610"/>
    </row>
    <row r="144" spans="2:10" ht="33.75" customHeight="1" thickBot="1" x14ac:dyDescent="0.3">
      <c r="B144" s="1610"/>
      <c r="C144" s="2444" t="s">
        <v>537</v>
      </c>
      <c r="D144" s="2445"/>
      <c r="E144" s="2445"/>
      <c r="F144" s="2445"/>
      <c r="G144" s="2446"/>
      <c r="H144" s="1610"/>
      <c r="I144" s="1610"/>
      <c r="J144" s="1620"/>
    </row>
    <row r="145" spans="2:12" ht="57" thickBot="1" x14ac:dyDescent="0.3">
      <c r="B145" s="1610"/>
      <c r="C145" s="1617" t="s">
        <v>653</v>
      </c>
      <c r="D145" s="1896">
        <v>11110</v>
      </c>
      <c r="E145" s="1896">
        <v>12000</v>
      </c>
      <c r="F145" s="1896">
        <v>13000</v>
      </c>
      <c r="G145" s="1897">
        <v>14000</v>
      </c>
      <c r="H145" s="1610"/>
      <c r="I145" s="1610"/>
      <c r="J145" s="1610"/>
    </row>
    <row r="146" spans="2:12" ht="38.25" thickBot="1" x14ac:dyDescent="0.3">
      <c r="B146" s="1610"/>
      <c r="C146" s="1617" t="s">
        <v>652</v>
      </c>
      <c r="D146" s="1896">
        <v>3797</v>
      </c>
      <c r="E146" s="1896">
        <v>4000</v>
      </c>
      <c r="F146" s="1896">
        <v>4200</v>
      </c>
      <c r="G146" s="1897">
        <v>4500</v>
      </c>
      <c r="H146" s="1610"/>
      <c r="I146" s="1610"/>
      <c r="J146" s="1610"/>
    </row>
    <row r="147" spans="2:12" ht="38.25" thickBot="1" x14ac:dyDescent="0.3">
      <c r="B147" s="1610"/>
      <c r="C147" s="1617" t="s">
        <v>651</v>
      </c>
      <c r="D147" s="1896">
        <v>500</v>
      </c>
      <c r="E147" s="1896">
        <v>550</v>
      </c>
      <c r="F147" s="1896">
        <v>600</v>
      </c>
      <c r="G147" s="1897">
        <v>650</v>
      </c>
      <c r="H147" s="1610"/>
      <c r="I147" s="1610"/>
      <c r="J147" s="1610"/>
    </row>
    <row r="148" spans="2:12" ht="57" thickBot="1" x14ac:dyDescent="0.3">
      <c r="B148" s="1610"/>
      <c r="C148" s="1617" t="s">
        <v>650</v>
      </c>
      <c r="D148" s="1898">
        <v>0.3</v>
      </c>
      <c r="E148" s="1898">
        <v>0.1</v>
      </c>
      <c r="F148" s="1898">
        <v>0.1</v>
      </c>
      <c r="G148" s="1899">
        <v>0.1</v>
      </c>
      <c r="H148" s="1610"/>
      <c r="I148" s="1610"/>
      <c r="J148" s="1610"/>
      <c r="K148" s="1610"/>
      <c r="L148" s="1878"/>
    </row>
    <row r="149" spans="2:12" ht="38.25" thickBot="1" x14ac:dyDescent="0.3">
      <c r="B149" s="1610"/>
      <c r="C149" s="1617" t="s">
        <v>1208</v>
      </c>
      <c r="D149" s="1896">
        <v>600</v>
      </c>
      <c r="E149" s="1896">
        <v>660</v>
      </c>
      <c r="F149" s="1896">
        <v>720</v>
      </c>
      <c r="G149" s="1897">
        <v>780</v>
      </c>
      <c r="H149" s="1610"/>
      <c r="I149" s="1610"/>
      <c r="J149" s="1610"/>
    </row>
    <row r="150" spans="2:12" ht="38.25" thickBot="1" x14ac:dyDescent="0.3">
      <c r="B150" s="1610"/>
      <c r="C150" s="1617" t="s">
        <v>631</v>
      </c>
      <c r="D150" s="1896">
        <v>23660</v>
      </c>
      <c r="E150" s="1896">
        <v>23660</v>
      </c>
      <c r="F150" s="1896">
        <v>23660</v>
      </c>
      <c r="G150" s="1897">
        <v>23660</v>
      </c>
      <c r="H150" s="1610"/>
      <c r="I150" s="1610"/>
      <c r="J150" s="1610"/>
    </row>
    <row r="151" spans="2:12" ht="28.5" customHeight="1" thickBot="1" x14ac:dyDescent="0.3">
      <c r="B151" s="1610"/>
      <c r="C151" s="2441" t="s">
        <v>66</v>
      </c>
      <c r="D151" s="2442"/>
      <c r="E151" s="2442"/>
      <c r="F151" s="2442"/>
      <c r="G151" s="2443"/>
      <c r="H151" s="1610"/>
      <c r="I151" s="1610"/>
      <c r="J151" s="1610"/>
    </row>
    <row r="152" spans="2:12" ht="24.75" customHeight="1" thickBot="1" x14ac:dyDescent="0.3">
      <c r="B152" s="1610"/>
      <c r="C152" s="2441" t="s">
        <v>121</v>
      </c>
      <c r="D152" s="2442"/>
      <c r="E152" s="2442"/>
      <c r="F152" s="2442"/>
      <c r="G152" s="2443"/>
      <c r="H152" s="1610"/>
      <c r="I152" s="1610"/>
      <c r="J152" s="1610"/>
    </row>
    <row r="153" spans="2:12" ht="34.5" customHeight="1" thickBot="1" x14ac:dyDescent="0.3">
      <c r="B153" s="1610"/>
      <c r="C153" s="1621" t="s">
        <v>648</v>
      </c>
      <c r="D153" s="2422" t="s">
        <v>647</v>
      </c>
      <c r="E153" s="2423"/>
      <c r="F153" s="2423"/>
      <c r="G153" s="2424"/>
      <c r="H153" s="1610"/>
      <c r="I153" s="1610"/>
      <c r="J153" s="1610"/>
    </row>
    <row r="154" spans="2:12" ht="23.45" customHeight="1" thickBot="1" x14ac:dyDescent="0.3">
      <c r="B154" s="1610"/>
      <c r="C154" s="1617" t="s">
        <v>10</v>
      </c>
      <c r="D154" s="2422" t="s">
        <v>647</v>
      </c>
      <c r="E154" s="2423"/>
      <c r="F154" s="2423"/>
      <c r="G154" s="2424"/>
      <c r="H154" s="1610"/>
      <c r="I154" s="1610"/>
      <c r="J154" s="1610"/>
    </row>
    <row r="155" spans="2:12" ht="26.25" customHeight="1" thickBot="1" x14ac:dyDescent="0.3">
      <c r="B155" s="1610"/>
      <c r="C155" s="1617" t="s">
        <v>13</v>
      </c>
      <c r="D155" s="2425" t="s">
        <v>646</v>
      </c>
      <c r="E155" s="2426"/>
      <c r="F155" s="2426"/>
      <c r="G155" s="2427"/>
      <c r="H155" s="1610"/>
      <c r="I155" s="1610"/>
      <c r="J155" s="1610"/>
    </row>
    <row r="156" spans="2:12" ht="22.5" customHeight="1" x14ac:dyDescent="0.25">
      <c r="B156" s="1610"/>
      <c r="C156" s="2428"/>
      <c r="D156" s="1614">
        <v>2018</v>
      </c>
      <c r="E156" s="1614">
        <v>2019</v>
      </c>
      <c r="F156" s="1614">
        <v>2020</v>
      </c>
      <c r="G156" s="1614">
        <v>2021</v>
      </c>
      <c r="H156" s="1610"/>
      <c r="I156" s="1610"/>
      <c r="J156" s="1610"/>
    </row>
    <row r="157" spans="2:12" ht="33" customHeight="1" thickBot="1" x14ac:dyDescent="0.3">
      <c r="B157" s="1610"/>
      <c r="C157" s="2429"/>
      <c r="D157" s="1615" t="s">
        <v>6</v>
      </c>
      <c r="E157" s="1615" t="s">
        <v>7</v>
      </c>
      <c r="F157" s="1615" t="s">
        <v>7</v>
      </c>
      <c r="G157" s="1615" t="s">
        <v>7</v>
      </c>
      <c r="H157" s="1610"/>
      <c r="I157" s="1610"/>
      <c r="J157" s="1610"/>
    </row>
    <row r="158" spans="2:12" ht="19.5" thickBot="1" x14ac:dyDescent="0.25">
      <c r="B158" s="1610"/>
      <c r="C158" s="1617" t="s">
        <v>9</v>
      </c>
      <c r="D158" s="1879">
        <v>297000</v>
      </c>
      <c r="E158" s="1879">
        <v>295000</v>
      </c>
      <c r="F158" s="1879">
        <v>293000</v>
      </c>
      <c r="G158" s="1880">
        <v>290000</v>
      </c>
      <c r="H158" s="1610"/>
      <c r="I158" s="1610"/>
      <c r="J158" s="1610"/>
    </row>
    <row r="159" spans="2:12" ht="19.5" thickBot="1" x14ac:dyDescent="0.25">
      <c r="B159" s="1610"/>
      <c r="C159" s="1617" t="s">
        <v>14</v>
      </c>
      <c r="D159" s="1879">
        <v>19122877</v>
      </c>
      <c r="E159" s="1879">
        <v>19444307.699999999</v>
      </c>
      <c r="F159" s="1879">
        <v>19602388.511999998</v>
      </c>
      <c r="G159" s="1880">
        <v>19495541.767519999</v>
      </c>
      <c r="H159" s="1623"/>
      <c r="I159" s="1623"/>
      <c r="J159" s="1623"/>
      <c r="K159" s="1609"/>
    </row>
    <row r="160" spans="2:12" ht="38.25" thickBot="1" x14ac:dyDescent="0.25">
      <c r="B160" s="1610"/>
      <c r="C160" s="1617" t="s">
        <v>23</v>
      </c>
      <c r="D160" s="1881">
        <v>62.52</v>
      </c>
      <c r="E160" s="1881">
        <f>E159/E158</f>
        <v>65.912907457627114</v>
      </c>
      <c r="F160" s="1881">
        <f>F159/F158</f>
        <v>66.902349870307162</v>
      </c>
      <c r="G160" s="1882">
        <f>G159/G158</f>
        <v>67.226006094896547</v>
      </c>
      <c r="H160" s="1610"/>
      <c r="I160" s="1610"/>
      <c r="J160" s="1610"/>
    </row>
    <row r="161" spans="2:11" ht="19.5" thickBot="1" x14ac:dyDescent="0.3">
      <c r="B161" s="1610"/>
      <c r="C161" s="1617" t="s">
        <v>15</v>
      </c>
      <c r="D161" s="1883"/>
      <c r="E161" s="1884">
        <f t="shared" ref="E161:G163" si="6">E158/D158-1</f>
        <v>-6.7340067340067034E-3</v>
      </c>
      <c r="F161" s="1884">
        <f t="shared" si="6"/>
        <v>-6.7796610169491567E-3</v>
      </c>
      <c r="G161" s="1885">
        <f t="shared" si="6"/>
        <v>-1.0238907849829393E-2</v>
      </c>
      <c r="H161" s="1610"/>
      <c r="I161" s="1623"/>
      <c r="J161" s="1623"/>
      <c r="K161" s="1609"/>
    </row>
    <row r="162" spans="2:11" ht="38.25" thickBot="1" x14ac:dyDescent="0.3">
      <c r="B162" s="1610"/>
      <c r="C162" s="1617" t="s">
        <v>16</v>
      </c>
      <c r="D162" s="1883"/>
      <c r="E162" s="1884">
        <f t="shared" si="6"/>
        <v>1.6808699862473686E-2</v>
      </c>
      <c r="F162" s="1884">
        <f t="shared" si="6"/>
        <v>8.1299275057244991E-3</v>
      </c>
      <c r="G162" s="1885">
        <f t="shared" si="6"/>
        <v>-5.4507002763765078E-3</v>
      </c>
      <c r="H162" s="1610"/>
      <c r="I162" s="1610"/>
      <c r="J162" s="1610"/>
    </row>
    <row r="163" spans="2:11" ht="38.25" thickBot="1" x14ac:dyDescent="0.3">
      <c r="B163" s="1610"/>
      <c r="C163" s="1617" t="s">
        <v>17</v>
      </c>
      <c r="D163" s="1883"/>
      <c r="E163" s="1884">
        <f t="shared" si="6"/>
        <v>5.4269153193011954E-2</v>
      </c>
      <c r="F163" s="1884">
        <f t="shared" si="6"/>
        <v>1.5011360457982015E-2</v>
      </c>
      <c r="G163" s="1885">
        <f t="shared" si="6"/>
        <v>4.8377407552471219E-3</v>
      </c>
      <c r="H163" s="1610"/>
      <c r="I163" s="1610"/>
      <c r="J163" s="1610"/>
    </row>
    <row r="164" spans="2:11" ht="41.25" customHeight="1" thickBot="1" x14ac:dyDescent="0.3">
      <c r="B164" s="1610"/>
      <c r="C164" s="1624" t="s">
        <v>1173</v>
      </c>
      <c r="D164" s="1625"/>
      <c r="E164" s="1625"/>
      <c r="F164" s="1625"/>
      <c r="G164" s="1626"/>
      <c r="H164" s="1610"/>
      <c r="I164" s="1610"/>
      <c r="J164" s="1610"/>
    </row>
    <row r="165" spans="2:11" ht="24.75" customHeight="1" x14ac:dyDescent="0.25">
      <c r="B165" s="1610"/>
      <c r="C165" s="1627"/>
      <c r="D165" s="1614">
        <v>2018</v>
      </c>
      <c r="E165" s="1614">
        <v>2019</v>
      </c>
      <c r="F165" s="1614">
        <v>2020</v>
      </c>
      <c r="G165" s="1614">
        <v>2021</v>
      </c>
      <c r="H165" s="1610"/>
      <c r="I165" s="1610"/>
      <c r="J165" s="1610"/>
    </row>
    <row r="166" spans="2:11" ht="22.5" customHeight="1" thickBot="1" x14ac:dyDescent="0.3">
      <c r="B166" s="1610"/>
      <c r="C166" s="1628"/>
      <c r="D166" s="1615" t="s">
        <v>6</v>
      </c>
      <c r="E166" s="1615" t="s">
        <v>7</v>
      </c>
      <c r="F166" s="1615" t="s">
        <v>7</v>
      </c>
      <c r="G166" s="1615" t="s">
        <v>7</v>
      </c>
      <c r="H166" s="1610"/>
      <c r="I166" s="1610"/>
      <c r="J166" s="1610"/>
    </row>
    <row r="167" spans="2:11" ht="19.5" thickBot="1" x14ac:dyDescent="0.25">
      <c r="B167" s="1610"/>
      <c r="C167" s="1617" t="s">
        <v>0</v>
      </c>
      <c r="D167" s="1879">
        <f>16462726-50000</f>
        <v>16412726</v>
      </c>
      <c r="E167" s="1879">
        <f>16462726-40000</f>
        <v>16422726</v>
      </c>
      <c r="F167" s="1879">
        <f>16462726-150000</f>
        <v>16312726</v>
      </c>
      <c r="G167" s="1880">
        <f>16462726-150000</f>
        <v>16312726</v>
      </c>
      <c r="H167" s="1610"/>
      <c r="I167" s="1610"/>
      <c r="J167" s="1610"/>
    </row>
    <row r="168" spans="2:11" ht="38.25" thickBot="1" x14ac:dyDescent="0.25">
      <c r="B168" s="1610"/>
      <c r="C168" s="1617" t="s">
        <v>49</v>
      </c>
      <c r="D168" s="1879">
        <f>2666960-21709</f>
        <v>2645251</v>
      </c>
      <c r="E168" s="1879">
        <f>2666960-12205</f>
        <v>2654755</v>
      </c>
      <c r="F168" s="1879">
        <f>2666960-40112</f>
        <v>2626848</v>
      </c>
      <c r="G168" s="1880">
        <f>2666960-40112</f>
        <v>2626848</v>
      </c>
      <c r="H168" s="1610"/>
      <c r="I168" s="1610"/>
      <c r="J168" s="1610"/>
    </row>
    <row r="169" spans="2:11" ht="19.5" thickBot="1" x14ac:dyDescent="0.25">
      <c r="B169" s="1610"/>
      <c r="C169" s="1617" t="s">
        <v>1</v>
      </c>
      <c r="D169" s="1881">
        <v>64900</v>
      </c>
      <c r="E169" s="1881">
        <f>367292.4-465.7</f>
        <v>366826.7</v>
      </c>
      <c r="F169" s="1881">
        <f>663295.312-480.8</f>
        <v>662814.51199999999</v>
      </c>
      <c r="G169" s="1882">
        <f>556464.06752-496.3</f>
        <v>555967.76751999999</v>
      </c>
      <c r="H169" s="1633"/>
      <c r="I169" s="1633"/>
      <c r="J169" s="1633">
        <v>-496.34767244476825</v>
      </c>
    </row>
    <row r="170" spans="2:11" ht="19.5" thickBot="1" x14ac:dyDescent="0.25">
      <c r="B170" s="1610"/>
      <c r="C170" s="1617" t="s">
        <v>2</v>
      </c>
      <c r="D170" s="1879">
        <v>0</v>
      </c>
      <c r="E170" s="1879">
        <v>0</v>
      </c>
      <c r="F170" s="1879">
        <v>0</v>
      </c>
      <c r="G170" s="1880">
        <v>0</v>
      </c>
      <c r="H170" s="1610"/>
      <c r="I170" s="1610"/>
      <c r="J170" s="1610"/>
    </row>
    <row r="171" spans="2:11" ht="38.25" thickBot="1" x14ac:dyDescent="0.25">
      <c r="B171" s="1610"/>
      <c r="C171" s="1617" t="s">
        <v>28</v>
      </c>
      <c r="D171" s="1879">
        <v>0</v>
      </c>
      <c r="E171" s="1879">
        <v>0</v>
      </c>
      <c r="F171" s="1879">
        <v>0</v>
      </c>
      <c r="G171" s="1880">
        <v>0</v>
      </c>
      <c r="H171" s="1610"/>
      <c r="I171" s="1610"/>
      <c r="J171" s="1610"/>
    </row>
    <row r="172" spans="2:11" ht="19.5" thickBot="1" x14ac:dyDescent="0.25">
      <c r="B172" s="1610"/>
      <c r="C172" s="1617" t="s">
        <v>30</v>
      </c>
      <c r="D172" s="1879">
        <v>0</v>
      </c>
      <c r="E172" s="1879">
        <v>0</v>
      </c>
      <c r="F172" s="1879">
        <v>0</v>
      </c>
      <c r="G172" s="1880">
        <v>0</v>
      </c>
      <c r="H172" s="1610"/>
      <c r="I172" s="1610"/>
      <c r="J172" s="1610"/>
    </row>
    <row r="173" spans="2:11" ht="38.25" thickBot="1" x14ac:dyDescent="0.25">
      <c r="B173" s="1610"/>
      <c r="C173" s="1617" t="s">
        <v>3</v>
      </c>
      <c r="D173" s="1879"/>
      <c r="E173" s="1879"/>
      <c r="F173" s="1879"/>
      <c r="G173" s="1880"/>
      <c r="H173" s="1610"/>
      <c r="I173" s="1610"/>
      <c r="J173" s="1610"/>
    </row>
    <row r="174" spans="2:11" ht="18.75" x14ac:dyDescent="0.25">
      <c r="B174" s="1610"/>
      <c r="C174" s="1630" t="s">
        <v>68</v>
      </c>
      <c r="D174" s="1900">
        <f>SUM(D167:D173)</f>
        <v>19122877</v>
      </c>
      <c r="E174" s="1900">
        <f>SUM(E167:E173)</f>
        <v>19444307.699999999</v>
      </c>
      <c r="F174" s="1900">
        <f>SUM(F167:F173)</f>
        <v>19602388.511999998</v>
      </c>
      <c r="G174" s="1901">
        <f>SUM(G167:G173)</f>
        <v>19495541.767519999</v>
      </c>
      <c r="H174" s="1610"/>
      <c r="I174" s="1610"/>
      <c r="J174" s="1610"/>
    </row>
    <row r="175" spans="2:11" ht="19.5" thickBot="1" x14ac:dyDescent="0.3">
      <c r="B175" s="1610"/>
      <c r="C175" s="1631" t="s">
        <v>70</v>
      </c>
      <c r="D175" s="1902">
        <f>D174-D159</f>
        <v>0</v>
      </c>
      <c r="E175" s="1902">
        <f>E174-E159</f>
        <v>0</v>
      </c>
      <c r="F175" s="1902">
        <f>F174-F159</f>
        <v>0</v>
      </c>
      <c r="G175" s="1902">
        <f>G174-G159</f>
        <v>0</v>
      </c>
      <c r="H175" s="1610"/>
      <c r="I175" s="1610"/>
      <c r="J175" s="1610"/>
    </row>
    <row r="176" spans="2:11" ht="48" customHeight="1" thickBot="1" x14ac:dyDescent="0.3">
      <c r="B176" s="1610"/>
      <c r="C176" s="1621" t="s">
        <v>645</v>
      </c>
      <c r="D176" s="2422" t="s">
        <v>644</v>
      </c>
      <c r="E176" s="2423"/>
      <c r="F176" s="2423"/>
      <c r="G176" s="2424"/>
      <c r="H176" s="1610"/>
      <c r="I176" s="1610"/>
      <c r="J176" s="1610"/>
    </row>
    <row r="177" spans="2:11" ht="50.25" customHeight="1" thickBot="1" x14ac:dyDescent="0.3">
      <c r="B177" s="1610"/>
      <c r="C177" s="1617" t="s">
        <v>10</v>
      </c>
      <c r="D177" s="2433" t="s">
        <v>644</v>
      </c>
      <c r="E177" s="2434"/>
      <c r="F177" s="2434"/>
      <c r="G177" s="2435"/>
      <c r="H177" s="1610"/>
      <c r="I177" s="1610"/>
      <c r="J177" s="1610"/>
    </row>
    <row r="178" spans="2:11" ht="19.5" thickBot="1" x14ac:dyDescent="0.3">
      <c r="B178" s="1610"/>
      <c r="C178" s="1617" t="s">
        <v>13</v>
      </c>
      <c r="D178" s="2425" t="s">
        <v>643</v>
      </c>
      <c r="E178" s="2426"/>
      <c r="F178" s="2426"/>
      <c r="G178" s="2427"/>
      <c r="H178" s="1610"/>
      <c r="I178" s="1610"/>
      <c r="J178" s="1610"/>
    </row>
    <row r="179" spans="2:11" ht="18" customHeight="1" x14ac:dyDescent="0.25">
      <c r="B179" s="1610"/>
      <c r="C179" s="2428"/>
      <c r="D179" s="1614">
        <v>2018</v>
      </c>
      <c r="E179" s="1614">
        <v>2019</v>
      </c>
      <c r="F179" s="1614">
        <v>2020</v>
      </c>
      <c r="G179" s="1614">
        <v>2021</v>
      </c>
      <c r="H179" s="1610"/>
      <c r="I179" s="1610"/>
      <c r="J179" s="1610"/>
    </row>
    <row r="180" spans="2:11" ht="37.5" customHeight="1" thickBot="1" x14ac:dyDescent="0.3">
      <c r="B180" s="1610"/>
      <c r="C180" s="2429"/>
      <c r="D180" s="1615" t="s">
        <v>6</v>
      </c>
      <c r="E180" s="1615" t="s">
        <v>7</v>
      </c>
      <c r="F180" s="1615" t="s">
        <v>7</v>
      </c>
      <c r="G180" s="1615" t="s">
        <v>7</v>
      </c>
      <c r="H180" s="1610"/>
      <c r="I180" s="1610"/>
      <c r="J180" s="1610"/>
    </row>
    <row r="181" spans="2:11" ht="19.5" thickBot="1" x14ac:dyDescent="0.25">
      <c r="B181" s="1610"/>
      <c r="C181" s="1617" t="s">
        <v>9</v>
      </c>
      <c r="D181" s="1879">
        <v>700</v>
      </c>
      <c r="E181" s="1879">
        <v>700</v>
      </c>
      <c r="F181" s="1879">
        <v>700</v>
      </c>
      <c r="G181" s="1880">
        <v>700</v>
      </c>
      <c r="H181" s="1610"/>
      <c r="I181" s="1610"/>
      <c r="J181" s="1610"/>
    </row>
    <row r="182" spans="2:11" ht="19.5" thickBot="1" x14ac:dyDescent="0.25">
      <c r="B182" s="1610"/>
      <c r="C182" s="1617" t="s">
        <v>14</v>
      </c>
      <c r="D182" s="1879">
        <v>91609</v>
      </c>
      <c r="E182" s="1879">
        <v>94609</v>
      </c>
      <c r="F182" s="1879">
        <v>97609</v>
      </c>
      <c r="G182" s="1880">
        <v>100609</v>
      </c>
      <c r="H182" s="1610"/>
      <c r="I182" s="1610"/>
      <c r="J182" s="1610"/>
    </row>
    <row r="183" spans="2:11" ht="38.25" thickBot="1" x14ac:dyDescent="0.25">
      <c r="B183" s="1610"/>
      <c r="C183" s="1617" t="s">
        <v>23</v>
      </c>
      <c r="D183" s="1879">
        <v>124.47</v>
      </c>
      <c r="E183" s="1879">
        <f>E182/E181</f>
        <v>135.15571428571428</v>
      </c>
      <c r="F183" s="1879">
        <f t="shared" ref="F183:G183" si="7">F182/F181</f>
        <v>139.44142857142856</v>
      </c>
      <c r="G183" s="1880">
        <f t="shared" si="7"/>
        <v>143.72714285714287</v>
      </c>
      <c r="H183" s="1610"/>
      <c r="I183" s="1610"/>
      <c r="J183" s="1610"/>
    </row>
    <row r="184" spans="2:11" ht="19.5" thickBot="1" x14ac:dyDescent="0.3">
      <c r="B184" s="1610"/>
      <c r="C184" s="1617" t="s">
        <v>15</v>
      </c>
      <c r="D184" s="1903"/>
      <c r="E184" s="1884">
        <v>0</v>
      </c>
      <c r="F184" s="1884">
        <v>0</v>
      </c>
      <c r="G184" s="1885">
        <v>0</v>
      </c>
      <c r="H184" s="1610"/>
      <c r="I184" s="1623"/>
      <c r="J184" s="1623"/>
      <c r="K184" s="1609"/>
    </row>
    <row r="185" spans="2:11" ht="38.25" thickBot="1" x14ac:dyDescent="0.3">
      <c r="B185" s="1610"/>
      <c r="C185" s="1617" t="s">
        <v>16</v>
      </c>
      <c r="D185" s="1883"/>
      <c r="E185" s="1884">
        <f t="shared" ref="E185:G186" si="8">E182/D182-1</f>
        <v>3.2747874117171838E-2</v>
      </c>
      <c r="F185" s="1884">
        <f t="shared" si="8"/>
        <v>3.1709456817004655E-2</v>
      </c>
      <c r="G185" s="1885">
        <f t="shared" si="8"/>
        <v>3.0734870759868471E-2</v>
      </c>
      <c r="H185" s="1610"/>
      <c r="I185" s="1610"/>
      <c r="J185" s="1610"/>
    </row>
    <row r="186" spans="2:11" ht="38.25" thickBot="1" x14ac:dyDescent="0.3">
      <c r="B186" s="1610"/>
      <c r="C186" s="1617" t="s">
        <v>17</v>
      </c>
      <c r="D186" s="1883"/>
      <c r="E186" s="1884">
        <f t="shared" si="8"/>
        <v>8.5849717086159627E-2</v>
      </c>
      <c r="F186" s="1884">
        <f t="shared" si="8"/>
        <v>3.1709456817004655E-2</v>
      </c>
      <c r="G186" s="1885">
        <f t="shared" si="8"/>
        <v>3.0734870759868693E-2</v>
      </c>
      <c r="H186" s="1610"/>
      <c r="I186" s="1610"/>
      <c r="J186" s="1610"/>
    </row>
    <row r="187" spans="2:11" ht="15.75" customHeight="1" thickBot="1" x14ac:dyDescent="0.3">
      <c r="B187" s="1610"/>
      <c r="C187" s="1624" t="s">
        <v>1174</v>
      </c>
      <c r="D187" s="1904"/>
      <c r="E187" s="1904"/>
      <c r="F187" s="1904"/>
      <c r="G187" s="1905"/>
      <c r="H187" s="1610"/>
      <c r="I187" s="1610"/>
      <c r="J187" s="1610"/>
    </row>
    <row r="188" spans="2:11" ht="12.75" customHeight="1" x14ac:dyDescent="0.25">
      <c r="B188" s="1610"/>
      <c r="C188" s="1627"/>
      <c r="D188" s="1906">
        <v>2018</v>
      </c>
      <c r="E188" s="1906">
        <v>2019</v>
      </c>
      <c r="F188" s="1906">
        <v>2020</v>
      </c>
      <c r="G188" s="1906">
        <v>2021</v>
      </c>
      <c r="H188" s="1610"/>
      <c r="I188" s="1610"/>
      <c r="J188" s="1610"/>
    </row>
    <row r="189" spans="2:11" ht="14.45" customHeight="1" thickBot="1" x14ac:dyDescent="0.3">
      <c r="B189" s="1610"/>
      <c r="C189" s="1628"/>
      <c r="D189" s="1907" t="s">
        <v>6</v>
      </c>
      <c r="E189" s="1907" t="s">
        <v>7</v>
      </c>
      <c r="F189" s="1907" t="s">
        <v>7</v>
      </c>
      <c r="G189" s="1907" t="s">
        <v>7</v>
      </c>
      <c r="H189" s="1610"/>
      <c r="I189" s="1610"/>
      <c r="J189" s="1610"/>
    </row>
    <row r="190" spans="2:11" ht="19.5" thickBot="1" x14ac:dyDescent="0.25">
      <c r="B190" s="1610"/>
      <c r="C190" s="1617" t="s">
        <v>0</v>
      </c>
      <c r="D190" s="1879">
        <v>61712</v>
      </c>
      <c r="E190" s="1879">
        <v>61712</v>
      </c>
      <c r="F190" s="1879">
        <v>61712</v>
      </c>
      <c r="G190" s="1880">
        <v>61712</v>
      </c>
      <c r="H190" s="1610"/>
      <c r="I190" s="1610"/>
      <c r="J190" s="1610"/>
    </row>
    <row r="191" spans="2:11" ht="38.25" thickBot="1" x14ac:dyDescent="0.25">
      <c r="B191" s="1610"/>
      <c r="C191" s="1617" t="s">
        <v>49</v>
      </c>
      <c r="D191" s="1879">
        <v>9997</v>
      </c>
      <c r="E191" s="1879">
        <v>9997</v>
      </c>
      <c r="F191" s="1879">
        <v>9997</v>
      </c>
      <c r="G191" s="1880">
        <v>9997</v>
      </c>
      <c r="H191" s="1610"/>
      <c r="I191" s="1610"/>
      <c r="J191" s="1610"/>
    </row>
    <row r="192" spans="2:11" ht="19.5" thickBot="1" x14ac:dyDescent="0.25">
      <c r="B192" s="1610"/>
      <c r="C192" s="1617" t="s">
        <v>1</v>
      </c>
      <c r="D192" s="1879">
        <v>19900</v>
      </c>
      <c r="E192" s="1879">
        <v>22900</v>
      </c>
      <c r="F192" s="1879">
        <v>25900</v>
      </c>
      <c r="G192" s="1880">
        <v>28900</v>
      </c>
      <c r="H192" s="1610"/>
      <c r="I192" s="1610"/>
      <c r="J192" s="1610"/>
    </row>
    <row r="193" spans="2:10" ht="19.5" thickBot="1" x14ac:dyDescent="0.25">
      <c r="B193" s="1610"/>
      <c r="C193" s="1617" t="s">
        <v>2</v>
      </c>
      <c r="D193" s="1879">
        <v>0</v>
      </c>
      <c r="E193" s="1879">
        <v>0</v>
      </c>
      <c r="F193" s="1879">
        <v>0</v>
      </c>
      <c r="G193" s="1880">
        <v>0</v>
      </c>
      <c r="H193" s="1610"/>
      <c r="I193" s="1610"/>
      <c r="J193" s="1610"/>
    </row>
    <row r="194" spans="2:10" ht="38.25" thickBot="1" x14ac:dyDescent="0.25">
      <c r="B194" s="1610"/>
      <c r="C194" s="1617" t="s">
        <v>28</v>
      </c>
      <c r="D194" s="1879">
        <v>0</v>
      </c>
      <c r="E194" s="1879">
        <v>0</v>
      </c>
      <c r="F194" s="1879">
        <v>0</v>
      </c>
      <c r="G194" s="1880">
        <v>0</v>
      </c>
      <c r="H194" s="1610"/>
      <c r="I194" s="1610"/>
      <c r="J194" s="1610"/>
    </row>
    <row r="195" spans="2:10" ht="19.5" thickBot="1" x14ac:dyDescent="0.25">
      <c r="B195" s="1610"/>
      <c r="C195" s="1617" t="s">
        <v>30</v>
      </c>
      <c r="D195" s="1879">
        <v>0</v>
      </c>
      <c r="E195" s="1879">
        <v>0</v>
      </c>
      <c r="F195" s="1879">
        <v>0</v>
      </c>
      <c r="G195" s="1880">
        <v>0</v>
      </c>
      <c r="H195" s="1610"/>
      <c r="I195" s="1610"/>
      <c r="J195" s="1610"/>
    </row>
    <row r="196" spans="2:10" ht="38.25" thickBot="1" x14ac:dyDescent="0.3">
      <c r="B196" s="1610"/>
      <c r="C196" s="1617" t="s">
        <v>3</v>
      </c>
      <c r="D196" s="1908"/>
      <c r="E196" s="1908"/>
      <c r="F196" s="1908"/>
      <c r="G196" s="1908"/>
      <c r="H196" s="1610"/>
      <c r="I196" s="1610"/>
      <c r="J196" s="1610"/>
    </row>
    <row r="197" spans="2:10" ht="18.75" x14ac:dyDescent="0.2">
      <c r="B197" s="1610"/>
      <c r="C197" s="1630" t="s">
        <v>641</v>
      </c>
      <c r="D197" s="1879">
        <f>SUM(D190:D196)</f>
        <v>91609</v>
      </c>
      <c r="E197" s="1879">
        <f>SUM(E190:E196)</f>
        <v>94609</v>
      </c>
      <c r="F197" s="1879">
        <f>SUM(F190:F196)</f>
        <v>97609</v>
      </c>
      <c r="G197" s="1880">
        <f>SUM(G190:G196)</f>
        <v>100609</v>
      </c>
      <c r="H197" s="1610"/>
      <c r="I197" s="1610"/>
      <c r="J197" s="1610"/>
    </row>
    <row r="198" spans="2:10" ht="19.5" thickBot="1" x14ac:dyDescent="0.3">
      <c r="B198" s="1610"/>
      <c r="C198" s="1631" t="s">
        <v>70</v>
      </c>
      <c r="D198" s="1902">
        <f>D197-D182</f>
        <v>0</v>
      </c>
      <c r="E198" s="1902">
        <f>E197-E182</f>
        <v>0</v>
      </c>
      <c r="F198" s="1902">
        <f>F197-F182</f>
        <v>0</v>
      </c>
      <c r="G198" s="1902">
        <f>G197-G182</f>
        <v>0</v>
      </c>
      <c r="H198" s="1610"/>
      <c r="I198" s="1610"/>
      <c r="J198" s="1610"/>
    </row>
    <row r="199" spans="2:10" ht="42" customHeight="1" thickBot="1" x14ac:dyDescent="0.3">
      <c r="B199" s="1610"/>
      <c r="C199" s="1940" t="s">
        <v>639</v>
      </c>
      <c r="D199" s="2430" t="s">
        <v>638</v>
      </c>
      <c r="E199" s="2431"/>
      <c r="F199" s="2431"/>
      <c r="G199" s="2432"/>
      <c r="H199" s="1610"/>
      <c r="I199" s="1610"/>
      <c r="J199" s="1610"/>
    </row>
    <row r="200" spans="2:10" ht="23.25" customHeight="1" thickBot="1" x14ac:dyDescent="0.3">
      <c r="B200" s="1610"/>
      <c r="C200" s="2462" t="s">
        <v>637</v>
      </c>
      <c r="D200" s="2463"/>
      <c r="E200" s="2463"/>
      <c r="F200" s="2463"/>
      <c r="G200" s="2464"/>
      <c r="H200" s="1610"/>
      <c r="I200" s="1610"/>
      <c r="J200" s="1620"/>
    </row>
    <row r="201" spans="2:10" ht="40.5" customHeight="1" thickBot="1" x14ac:dyDescent="0.3">
      <c r="B201" s="1610"/>
      <c r="C201" s="1617" t="s">
        <v>1209</v>
      </c>
      <c r="D201" s="1913">
        <f>D202/D205</f>
        <v>9.4359969804809665E-2</v>
      </c>
      <c r="E201" s="1913">
        <f>E202/E205</f>
        <v>9.9065369479667681E-2</v>
      </c>
      <c r="F201" s="1913">
        <f>F202/F205</f>
        <v>0.1021694558350881</v>
      </c>
      <c r="G201" s="1914">
        <f>G202/G205</f>
        <v>0.10536075522589346</v>
      </c>
      <c r="H201" s="1610"/>
      <c r="I201" s="1610"/>
      <c r="J201" s="1610"/>
    </row>
    <row r="202" spans="2:10" ht="38.25" thickBot="1" x14ac:dyDescent="0.3">
      <c r="B202" s="1610"/>
      <c r="C202" s="1617" t="s">
        <v>635</v>
      </c>
      <c r="D202" s="1890">
        <v>28000</v>
      </c>
      <c r="E202" s="1890">
        <v>29000</v>
      </c>
      <c r="F202" s="1890">
        <v>29500</v>
      </c>
      <c r="G202" s="1891">
        <v>30000</v>
      </c>
      <c r="H202" s="1610"/>
      <c r="I202" s="1610"/>
      <c r="J202" s="1610"/>
    </row>
    <row r="203" spans="2:10" ht="45.75" customHeight="1" thickBot="1" x14ac:dyDescent="0.3">
      <c r="B203" s="1610"/>
      <c r="C203" s="1617" t="s">
        <v>634</v>
      </c>
      <c r="D203" s="1913">
        <f>D204/D206</f>
        <v>0.29585798816568049</v>
      </c>
      <c r="E203" s="1913">
        <f>E204/E206</f>
        <v>0.29585798816568049</v>
      </c>
      <c r="F203" s="1913">
        <f>F204/F206</f>
        <v>0.29585798816568049</v>
      </c>
      <c r="G203" s="1914">
        <f>G204/G206</f>
        <v>0.29585798816568049</v>
      </c>
      <c r="H203" s="1610"/>
      <c r="I203" s="1610"/>
      <c r="J203" s="1610"/>
    </row>
    <row r="204" spans="2:10" ht="25.5" customHeight="1" thickBot="1" x14ac:dyDescent="0.3">
      <c r="B204" s="1610"/>
      <c r="C204" s="1617" t="s">
        <v>633</v>
      </c>
      <c r="D204" s="1890">
        <v>7000</v>
      </c>
      <c r="E204" s="1890">
        <v>7000</v>
      </c>
      <c r="F204" s="1890">
        <v>7000</v>
      </c>
      <c r="G204" s="1891">
        <v>7000</v>
      </c>
      <c r="H204" s="1610"/>
      <c r="I204" s="1610"/>
      <c r="J204" s="1610"/>
    </row>
    <row r="205" spans="2:10" ht="75.75" thickBot="1" x14ac:dyDescent="0.3">
      <c r="B205" s="1610"/>
      <c r="C205" s="1617" t="s">
        <v>1207</v>
      </c>
      <c r="D205" s="1890">
        <v>296736</v>
      </c>
      <c r="E205" s="1890">
        <f>D205-4000</f>
        <v>292736</v>
      </c>
      <c r="F205" s="1890">
        <f>E205-4000</f>
        <v>288736</v>
      </c>
      <c r="G205" s="1891">
        <f>F205-4000</f>
        <v>284736</v>
      </c>
      <c r="H205" s="1610"/>
      <c r="I205" s="1610"/>
      <c r="J205" s="1610"/>
    </row>
    <row r="206" spans="2:10" ht="38.25" thickBot="1" x14ac:dyDescent="0.3">
      <c r="B206" s="1610"/>
      <c r="C206" s="1617" t="s">
        <v>631</v>
      </c>
      <c r="D206" s="1890">
        <v>23660</v>
      </c>
      <c r="E206" s="1890">
        <v>23660</v>
      </c>
      <c r="F206" s="1890">
        <v>23660</v>
      </c>
      <c r="G206" s="1891">
        <v>23660</v>
      </c>
      <c r="H206" s="1610"/>
      <c r="I206" s="1610"/>
      <c r="J206" s="1610"/>
    </row>
    <row r="207" spans="2:10" ht="17.45" customHeight="1" thickBot="1" x14ac:dyDescent="0.3">
      <c r="B207" s="1610"/>
      <c r="C207" s="2441" t="s">
        <v>630</v>
      </c>
      <c r="D207" s="2442"/>
      <c r="E207" s="2442"/>
      <c r="F207" s="2442"/>
      <c r="G207" s="2443"/>
      <c r="H207" s="1610"/>
      <c r="I207" s="1610"/>
      <c r="J207" s="1610"/>
    </row>
    <row r="208" spans="2:10" ht="26.25" customHeight="1" thickBot="1" x14ac:dyDescent="0.3">
      <c r="B208" s="1610"/>
      <c r="C208" s="2441" t="s">
        <v>121</v>
      </c>
      <c r="D208" s="2442"/>
      <c r="E208" s="2442"/>
      <c r="F208" s="2442"/>
      <c r="G208" s="2443"/>
      <c r="H208" s="1610"/>
      <c r="I208" s="1610"/>
      <c r="J208" s="1610"/>
    </row>
    <row r="209" spans="2:11" ht="44.25" customHeight="1" thickBot="1" x14ac:dyDescent="0.3">
      <c r="B209" s="1610"/>
      <c r="C209" s="1621" t="s">
        <v>629</v>
      </c>
      <c r="D209" s="2422" t="s">
        <v>628</v>
      </c>
      <c r="E209" s="2423"/>
      <c r="F209" s="2423"/>
      <c r="G209" s="2424"/>
      <c r="H209" s="1610"/>
      <c r="I209" s="1610"/>
      <c r="J209" s="1610"/>
    </row>
    <row r="210" spans="2:11" ht="57" customHeight="1" thickBot="1" x14ac:dyDescent="0.3">
      <c r="B210" s="1610"/>
      <c r="C210" s="1617" t="s">
        <v>10</v>
      </c>
      <c r="D210" s="2422" t="s">
        <v>628</v>
      </c>
      <c r="E210" s="2423"/>
      <c r="F210" s="2423"/>
      <c r="G210" s="2424"/>
      <c r="H210" s="1610"/>
      <c r="I210" s="1610"/>
      <c r="J210" s="1610"/>
    </row>
    <row r="211" spans="2:11" ht="19.5" thickBot="1" x14ac:dyDescent="0.3">
      <c r="B211" s="1610"/>
      <c r="C211" s="1617" t="s">
        <v>13</v>
      </c>
      <c r="D211" s="2425" t="s">
        <v>627</v>
      </c>
      <c r="E211" s="2426"/>
      <c r="F211" s="2426"/>
      <c r="G211" s="2427"/>
      <c r="H211" s="1610"/>
      <c r="I211" s="1610"/>
      <c r="J211" s="1610"/>
    </row>
    <row r="212" spans="2:11" ht="12.75" customHeight="1" x14ac:dyDescent="0.25">
      <c r="B212" s="1610"/>
      <c r="C212" s="2428"/>
      <c r="D212" s="1614">
        <v>2018</v>
      </c>
      <c r="E212" s="1614">
        <v>2019</v>
      </c>
      <c r="F212" s="1614">
        <v>2020</v>
      </c>
      <c r="G212" s="1614">
        <v>2021</v>
      </c>
      <c r="H212" s="1610"/>
      <c r="I212" s="1610"/>
      <c r="J212" s="1610"/>
    </row>
    <row r="213" spans="2:11" ht="18" customHeight="1" thickBot="1" x14ac:dyDescent="0.3">
      <c r="B213" s="1610"/>
      <c r="C213" s="2429"/>
      <c r="D213" s="1907" t="s">
        <v>6</v>
      </c>
      <c r="E213" s="1907" t="s">
        <v>7</v>
      </c>
      <c r="F213" s="1907" t="s">
        <v>7</v>
      </c>
      <c r="G213" s="1907" t="s">
        <v>7</v>
      </c>
      <c r="H213" s="1610"/>
      <c r="I213" s="1610"/>
      <c r="J213" s="1610"/>
    </row>
    <row r="214" spans="2:11" ht="19.5" thickBot="1" x14ac:dyDescent="0.3">
      <c r="B214" s="1610"/>
      <c r="C214" s="1617" t="s">
        <v>9</v>
      </c>
      <c r="D214" s="1892">
        <v>35000</v>
      </c>
      <c r="E214" s="1892">
        <v>36000</v>
      </c>
      <c r="F214" s="1892">
        <v>36500</v>
      </c>
      <c r="G214" s="1893">
        <v>37000</v>
      </c>
      <c r="H214" s="1610"/>
      <c r="I214" s="1610"/>
      <c r="J214" s="1610"/>
    </row>
    <row r="215" spans="2:11" ht="19.5" thickBot="1" x14ac:dyDescent="0.3">
      <c r="B215" s="1610"/>
      <c r="C215" s="1617" t="s">
        <v>14</v>
      </c>
      <c r="D215" s="1892">
        <v>550000</v>
      </c>
      <c r="E215" s="1892">
        <v>560000</v>
      </c>
      <c r="F215" s="1892">
        <v>570000</v>
      </c>
      <c r="G215" s="1893">
        <v>580000</v>
      </c>
      <c r="H215" s="1610"/>
      <c r="I215" s="1610"/>
      <c r="J215" s="1610"/>
    </row>
    <row r="216" spans="2:11" ht="38.25" thickBot="1" x14ac:dyDescent="0.3">
      <c r="B216" s="1610"/>
      <c r="C216" s="1617" t="s">
        <v>23</v>
      </c>
      <c r="D216" s="1915">
        <f>D215/D214</f>
        <v>15.714285714285714</v>
      </c>
      <c r="E216" s="1915">
        <f>E215/E214</f>
        <v>15.555555555555555</v>
      </c>
      <c r="F216" s="1915">
        <f>F215/F214</f>
        <v>15.616438356164384</v>
      </c>
      <c r="G216" s="1916">
        <f>G215/G214</f>
        <v>15.675675675675675</v>
      </c>
      <c r="H216" s="1610"/>
      <c r="I216" s="1610"/>
      <c r="J216" s="1610"/>
    </row>
    <row r="217" spans="2:11" ht="19.5" thickBot="1" x14ac:dyDescent="0.25">
      <c r="B217" s="1610"/>
      <c r="C217" s="1617" t="s">
        <v>15</v>
      </c>
      <c r="D217" s="1883"/>
      <c r="E217" s="1909">
        <f t="shared" ref="E217:G219" si="9">E214/D214-1</f>
        <v>2.857142857142847E-2</v>
      </c>
      <c r="F217" s="1909">
        <f t="shared" si="9"/>
        <v>1.388888888888884E-2</v>
      </c>
      <c r="G217" s="1910">
        <f t="shared" si="9"/>
        <v>1.3698630136986356E-2</v>
      </c>
      <c r="H217" s="1610"/>
      <c r="I217" s="1623"/>
      <c r="J217" s="1623"/>
      <c r="K217" s="1609"/>
    </row>
    <row r="218" spans="2:11" ht="38.25" thickBot="1" x14ac:dyDescent="0.25">
      <c r="B218" s="1610"/>
      <c r="C218" s="1617" t="s">
        <v>16</v>
      </c>
      <c r="D218" s="1883"/>
      <c r="E218" s="1909">
        <f t="shared" si="9"/>
        <v>1.8181818181818077E-2</v>
      </c>
      <c r="F218" s="1909">
        <f t="shared" si="9"/>
        <v>1.7857142857142794E-2</v>
      </c>
      <c r="G218" s="1910">
        <f t="shared" si="9"/>
        <v>1.7543859649122862E-2</v>
      </c>
      <c r="H218" s="1610"/>
      <c r="I218" s="1610"/>
      <c r="J218" s="1610"/>
    </row>
    <row r="219" spans="2:11" ht="38.25" thickBot="1" x14ac:dyDescent="0.25">
      <c r="B219" s="1610"/>
      <c r="C219" s="1617" t="s">
        <v>17</v>
      </c>
      <c r="D219" s="1883"/>
      <c r="E219" s="1909">
        <f t="shared" si="9"/>
        <v>-1.0101010101010055E-2</v>
      </c>
      <c r="F219" s="1909">
        <f t="shared" si="9"/>
        <v>3.9138943248533398E-3</v>
      </c>
      <c r="G219" s="1910">
        <f t="shared" si="9"/>
        <v>3.7932669511615558E-3</v>
      </c>
      <c r="H219" s="1610"/>
      <c r="I219" s="1610"/>
      <c r="J219" s="1610"/>
    </row>
    <row r="220" spans="2:11" ht="47.25" customHeight="1" thickBot="1" x14ac:dyDescent="0.3">
      <c r="B220" s="1610"/>
      <c r="C220" s="2436" t="s">
        <v>1173</v>
      </c>
      <c r="D220" s="2437"/>
      <c r="E220" s="1904"/>
      <c r="F220" s="1904"/>
      <c r="G220" s="1905"/>
      <c r="H220" s="1610"/>
      <c r="I220" s="1610"/>
      <c r="J220" s="1610"/>
    </row>
    <row r="221" spans="2:11" ht="12.75" customHeight="1" x14ac:dyDescent="0.25">
      <c r="B221" s="1610"/>
      <c r="C221" s="1627"/>
      <c r="D221" s="1906">
        <v>2018</v>
      </c>
      <c r="E221" s="1906">
        <v>2019</v>
      </c>
      <c r="F221" s="1906">
        <v>2020</v>
      </c>
      <c r="G221" s="1906">
        <v>2021</v>
      </c>
      <c r="H221" s="1610"/>
      <c r="I221" s="1610"/>
      <c r="J221" s="1610"/>
    </row>
    <row r="222" spans="2:11" ht="22.5" customHeight="1" thickBot="1" x14ac:dyDescent="0.3">
      <c r="B222" s="1610"/>
      <c r="C222" s="1628"/>
      <c r="D222" s="1907" t="s">
        <v>6</v>
      </c>
      <c r="E222" s="1907" t="s">
        <v>7</v>
      </c>
      <c r="F222" s="1907" t="s">
        <v>7</v>
      </c>
      <c r="G222" s="1907" t="s">
        <v>7</v>
      </c>
      <c r="H222" s="1610"/>
      <c r="I222" s="1610"/>
      <c r="J222" s="1610"/>
    </row>
    <row r="223" spans="2:11" ht="22.5" customHeight="1" thickBot="1" x14ac:dyDescent="0.3">
      <c r="B223" s="1610"/>
      <c r="C223" s="1617" t="s">
        <v>0</v>
      </c>
      <c r="D223" s="1908">
        <v>0</v>
      </c>
      <c r="E223" s="1908">
        <v>0</v>
      </c>
      <c r="F223" s="1908">
        <v>0</v>
      </c>
      <c r="G223" s="1908">
        <v>0</v>
      </c>
      <c r="H223" s="1610"/>
      <c r="I223" s="1610"/>
      <c r="J223" s="1610"/>
    </row>
    <row r="224" spans="2:11" ht="38.25" thickBot="1" x14ac:dyDescent="0.3">
      <c r="B224" s="1610"/>
      <c r="C224" s="1617" t="s">
        <v>49</v>
      </c>
      <c r="D224" s="1908">
        <v>0</v>
      </c>
      <c r="E224" s="1908">
        <v>0</v>
      </c>
      <c r="F224" s="1908">
        <v>0</v>
      </c>
      <c r="G224" s="1908">
        <v>0</v>
      </c>
      <c r="H224" s="1610"/>
      <c r="I224" s="1610"/>
      <c r="J224" s="1610"/>
    </row>
    <row r="225" spans="2:10" ht="19.5" thickBot="1" x14ac:dyDescent="0.3">
      <c r="B225" s="1610"/>
      <c r="C225" s="1617" t="s">
        <v>1</v>
      </c>
      <c r="D225" s="1892">
        <f>D215</f>
        <v>550000</v>
      </c>
      <c r="E225" s="1892">
        <f>E215</f>
        <v>560000</v>
      </c>
      <c r="F225" s="1892">
        <f>F215</f>
        <v>570000</v>
      </c>
      <c r="G225" s="1893">
        <f>G215</f>
        <v>580000</v>
      </c>
      <c r="H225" s="1610"/>
      <c r="I225" s="1610"/>
      <c r="J225" s="1610"/>
    </row>
    <row r="226" spans="2:10" ht="19.5" thickBot="1" x14ac:dyDescent="0.3">
      <c r="B226" s="1610"/>
      <c r="C226" s="1617" t="s">
        <v>2</v>
      </c>
      <c r="D226" s="1908">
        <v>0</v>
      </c>
      <c r="E226" s="1908">
        <v>0</v>
      </c>
      <c r="F226" s="1908">
        <v>0</v>
      </c>
      <c r="G226" s="1908">
        <v>0</v>
      </c>
      <c r="H226" s="1610"/>
      <c r="I226" s="1610"/>
      <c r="J226" s="1610"/>
    </row>
    <row r="227" spans="2:10" ht="38.25" thickBot="1" x14ac:dyDescent="0.3">
      <c r="B227" s="1610"/>
      <c r="C227" s="1617" t="s">
        <v>28</v>
      </c>
      <c r="D227" s="1908">
        <v>0</v>
      </c>
      <c r="E227" s="1908">
        <v>0</v>
      </c>
      <c r="F227" s="1908">
        <v>0</v>
      </c>
      <c r="G227" s="1908">
        <v>0</v>
      </c>
      <c r="H227" s="1610"/>
      <c r="I227" s="1610"/>
      <c r="J227" s="1610"/>
    </row>
    <row r="228" spans="2:10" ht="19.5" thickBot="1" x14ac:dyDescent="0.3">
      <c r="B228" s="1610"/>
      <c r="C228" s="1617" t="s">
        <v>30</v>
      </c>
      <c r="D228" s="1908">
        <v>0</v>
      </c>
      <c r="E228" s="1908">
        <v>0</v>
      </c>
      <c r="F228" s="1908">
        <v>0</v>
      </c>
      <c r="G228" s="1908">
        <v>0</v>
      </c>
      <c r="H228" s="1610"/>
      <c r="I228" s="1610"/>
      <c r="J228" s="1610"/>
    </row>
    <row r="229" spans="2:10" ht="38.25" thickBot="1" x14ac:dyDescent="0.3">
      <c r="B229" s="1610"/>
      <c r="C229" s="1617" t="s">
        <v>3</v>
      </c>
      <c r="D229" s="1908"/>
      <c r="E229" s="1908"/>
      <c r="F229" s="1908"/>
      <c r="G229" s="1908"/>
      <c r="H229" s="1610"/>
      <c r="I229" s="1610"/>
      <c r="J229" s="1610"/>
    </row>
    <row r="230" spans="2:10" ht="18.75" x14ac:dyDescent="0.25">
      <c r="B230" s="1610"/>
      <c r="C230" s="1630" t="s">
        <v>68</v>
      </c>
      <c r="D230" s="1892">
        <f>SUM(D223:D229)</f>
        <v>550000</v>
      </c>
      <c r="E230" s="1892">
        <f>SUM(E223:E229)</f>
        <v>560000</v>
      </c>
      <c r="F230" s="1892">
        <f>SUM(F223:F229)</f>
        <v>570000</v>
      </c>
      <c r="G230" s="1893">
        <f>SUM(G223:G229)</f>
        <v>580000</v>
      </c>
      <c r="H230" s="1610"/>
      <c r="I230" s="1610"/>
      <c r="J230" s="1610"/>
    </row>
    <row r="231" spans="2:10" ht="19.5" thickBot="1" x14ac:dyDescent="0.3">
      <c r="B231" s="1610"/>
      <c r="C231" s="1631" t="s">
        <v>70</v>
      </c>
      <c r="D231" s="1902">
        <f>D230-D215</f>
        <v>0</v>
      </c>
      <c r="E231" s="1902">
        <f>E230-E215</f>
        <v>0</v>
      </c>
      <c r="F231" s="1902">
        <f>F230-F215</f>
        <v>0</v>
      </c>
      <c r="G231" s="1902">
        <f>G230-G215</f>
        <v>0</v>
      </c>
      <c r="H231" s="1610"/>
      <c r="I231" s="1610"/>
      <c r="J231" s="1610"/>
    </row>
    <row r="232" spans="2:10" ht="63" customHeight="1" thickBot="1" x14ac:dyDescent="0.3">
      <c r="B232" s="1610"/>
      <c r="C232" s="1940" t="s">
        <v>625</v>
      </c>
      <c r="D232" s="2466" t="s">
        <v>624</v>
      </c>
      <c r="E232" s="2467"/>
      <c r="F232" s="2467"/>
      <c r="G232" s="2468"/>
      <c r="H232" s="1610"/>
      <c r="I232" s="1610"/>
      <c r="J232" s="1610"/>
    </row>
    <row r="233" spans="2:10" ht="23.25" customHeight="1" thickBot="1" x14ac:dyDescent="0.3">
      <c r="B233" s="1610"/>
      <c r="C233" s="2462" t="s">
        <v>623</v>
      </c>
      <c r="D233" s="2463"/>
      <c r="E233" s="2463"/>
      <c r="F233" s="2463"/>
      <c r="G233" s="2464"/>
      <c r="H233" s="1610"/>
      <c r="I233" s="1610"/>
      <c r="J233" s="1620"/>
    </row>
    <row r="234" spans="2:10" ht="53.25" customHeight="1" thickBot="1" x14ac:dyDescent="0.3">
      <c r="B234" s="1610"/>
      <c r="C234" s="1617" t="s">
        <v>622</v>
      </c>
      <c r="D234" s="1892">
        <v>300</v>
      </c>
      <c r="E234" s="1892">
        <v>300</v>
      </c>
      <c r="F234" s="1892">
        <v>300</v>
      </c>
      <c r="G234" s="1893">
        <v>300</v>
      </c>
      <c r="H234" s="1610"/>
      <c r="I234" s="1610"/>
      <c r="J234" s="1610"/>
    </row>
    <row r="235" spans="2:10" ht="57" thickBot="1" x14ac:dyDescent="0.3">
      <c r="B235" s="1610"/>
      <c r="C235" s="1617" t="s">
        <v>621</v>
      </c>
      <c r="D235" s="1892">
        <v>50</v>
      </c>
      <c r="E235" s="1892">
        <v>50</v>
      </c>
      <c r="F235" s="1892">
        <v>50</v>
      </c>
      <c r="G235" s="1893">
        <v>50</v>
      </c>
      <c r="H235" s="1610"/>
      <c r="I235" s="1610"/>
      <c r="J235" s="1610"/>
    </row>
    <row r="236" spans="2:10" ht="91.9" customHeight="1" thickBot="1" x14ac:dyDescent="0.3">
      <c r="B236" s="1610"/>
      <c r="C236" s="1939" t="s">
        <v>620</v>
      </c>
      <c r="D236" s="2466" t="s">
        <v>619</v>
      </c>
      <c r="E236" s="2467"/>
      <c r="F236" s="2467"/>
      <c r="G236" s="2468"/>
      <c r="H236" s="1610"/>
      <c r="I236" s="1610"/>
      <c r="J236" s="1610"/>
    </row>
    <row r="237" spans="2:10" ht="27.75" customHeight="1" thickBot="1" x14ac:dyDescent="0.3">
      <c r="C237" s="2441" t="s">
        <v>614</v>
      </c>
      <c r="D237" s="2442"/>
      <c r="E237" s="2442"/>
      <c r="F237" s="2442"/>
      <c r="G237" s="2443"/>
    </row>
    <row r="238" spans="2:10" ht="23.25" customHeight="1" thickBot="1" x14ac:dyDescent="0.3">
      <c r="C238" s="2441" t="s">
        <v>121</v>
      </c>
      <c r="D238" s="2442"/>
      <c r="E238" s="2442"/>
      <c r="F238" s="2442"/>
      <c r="G238" s="2443"/>
    </row>
    <row r="239" spans="2:10" ht="44.25" customHeight="1" thickBot="1" x14ac:dyDescent="0.3">
      <c r="C239" s="1621" t="s">
        <v>617</v>
      </c>
      <c r="D239" s="2462" t="s">
        <v>616</v>
      </c>
      <c r="E239" s="2463"/>
      <c r="F239" s="2463"/>
      <c r="G239" s="2464"/>
    </row>
    <row r="240" spans="2:10" ht="44.25" customHeight="1" thickBot="1" x14ac:dyDescent="0.3">
      <c r="C240" s="1617" t="s">
        <v>10</v>
      </c>
      <c r="D240" s="2462" t="s">
        <v>616</v>
      </c>
      <c r="E240" s="2463"/>
      <c r="F240" s="2463"/>
      <c r="G240" s="2464"/>
    </row>
    <row r="241" spans="3:11" ht="19.5" thickBot="1" x14ac:dyDescent="0.3">
      <c r="C241" s="1617" t="s">
        <v>13</v>
      </c>
      <c r="D241" s="2425" t="s">
        <v>615</v>
      </c>
      <c r="E241" s="2426"/>
      <c r="F241" s="2426"/>
      <c r="G241" s="2427"/>
    </row>
    <row r="242" spans="3:11" ht="23.25" customHeight="1" x14ac:dyDescent="0.25">
      <c r="C242" s="2428"/>
      <c r="D242" s="1614">
        <v>2018</v>
      </c>
      <c r="E242" s="1614">
        <v>2019</v>
      </c>
      <c r="F242" s="1614">
        <v>2020</v>
      </c>
      <c r="G242" s="1614">
        <v>2021</v>
      </c>
    </row>
    <row r="243" spans="3:11" ht="27.75" customHeight="1" thickBot="1" x14ac:dyDescent="0.3">
      <c r="C243" s="2429"/>
      <c r="D243" s="1615" t="s">
        <v>6</v>
      </c>
      <c r="E243" s="1615" t="s">
        <v>7</v>
      </c>
      <c r="F243" s="1615" t="s">
        <v>7</v>
      </c>
      <c r="G243" s="1615" t="s">
        <v>7</v>
      </c>
    </row>
    <row r="244" spans="3:11" ht="19.5" thickBot="1" x14ac:dyDescent="0.3">
      <c r="C244" s="1617" t="s">
        <v>9</v>
      </c>
      <c r="D244" s="1892">
        <v>400</v>
      </c>
      <c r="E244" s="1892">
        <v>400</v>
      </c>
      <c r="F244" s="1892">
        <v>400</v>
      </c>
      <c r="G244" s="1893">
        <v>400</v>
      </c>
    </row>
    <row r="245" spans="3:11" ht="19.5" thickBot="1" x14ac:dyDescent="0.3">
      <c r="C245" s="1617" t="s">
        <v>14</v>
      </c>
      <c r="D245" s="1892">
        <v>4000</v>
      </c>
      <c r="E245" s="1892">
        <v>4079.9999999999995</v>
      </c>
      <c r="F245" s="1892">
        <v>4161.6000000000004</v>
      </c>
      <c r="G245" s="1893">
        <v>4244.8320000000003</v>
      </c>
    </row>
    <row r="246" spans="3:11" ht="38.25" thickBot="1" x14ac:dyDescent="0.3">
      <c r="C246" s="1617" t="s">
        <v>23</v>
      </c>
      <c r="D246" s="1915">
        <f>D245/D244</f>
        <v>10</v>
      </c>
      <c r="E246" s="1915">
        <f>E245/E244</f>
        <v>10.199999999999999</v>
      </c>
      <c r="F246" s="1915">
        <f t="shared" ref="F246:G246" si="10">F245/F244</f>
        <v>10.404000000000002</v>
      </c>
      <c r="G246" s="1916">
        <f t="shared" si="10"/>
        <v>10.612080000000001</v>
      </c>
    </row>
    <row r="247" spans="3:11" ht="19.5" thickBot="1" x14ac:dyDescent="0.3">
      <c r="C247" s="1617" t="s">
        <v>15</v>
      </c>
      <c r="D247" s="1883"/>
      <c r="E247" s="1884">
        <f t="shared" ref="E247:G249" si="11">E244/D244-1</f>
        <v>0</v>
      </c>
      <c r="F247" s="1884">
        <f t="shared" si="11"/>
        <v>0</v>
      </c>
      <c r="G247" s="1885">
        <f t="shared" si="11"/>
        <v>0</v>
      </c>
      <c r="I247" s="1609"/>
      <c r="J247" s="1609"/>
      <c r="K247" s="1609"/>
    </row>
    <row r="248" spans="3:11" ht="38.25" thickBot="1" x14ac:dyDescent="0.3">
      <c r="C248" s="1617" t="s">
        <v>16</v>
      </c>
      <c r="D248" s="1883"/>
      <c r="E248" s="1917">
        <f t="shared" si="11"/>
        <v>1.9999999999999796E-2</v>
      </c>
      <c r="F248" s="1917">
        <f t="shared" si="11"/>
        <v>2.000000000000024E-2</v>
      </c>
      <c r="G248" s="1918">
        <f t="shared" si="11"/>
        <v>2.0000000000000018E-2</v>
      </c>
    </row>
    <row r="249" spans="3:11" ht="38.25" thickBot="1" x14ac:dyDescent="0.3">
      <c r="C249" s="1617" t="s">
        <v>17</v>
      </c>
      <c r="D249" s="1883"/>
      <c r="E249" s="1917">
        <f t="shared" si="11"/>
        <v>2.0000000000000018E-2</v>
      </c>
      <c r="F249" s="1917">
        <f t="shared" si="11"/>
        <v>2.000000000000024E-2</v>
      </c>
      <c r="G249" s="1918">
        <f t="shared" si="11"/>
        <v>1.9999999999999796E-2</v>
      </c>
    </row>
    <row r="250" spans="3:11" ht="25.15" customHeight="1" thickBot="1" x14ac:dyDescent="0.3">
      <c r="C250" s="2444" t="s">
        <v>1173</v>
      </c>
      <c r="D250" s="2445"/>
      <c r="E250" s="1904"/>
      <c r="F250" s="1904"/>
      <c r="G250" s="1905"/>
    </row>
    <row r="251" spans="3:11" ht="12.75" customHeight="1" x14ac:dyDescent="0.25">
      <c r="C251" s="1627"/>
      <c r="D251" s="1906">
        <v>2018</v>
      </c>
      <c r="E251" s="1906">
        <v>2019</v>
      </c>
      <c r="F251" s="1906">
        <v>2020</v>
      </c>
      <c r="G251" s="1906">
        <v>2021</v>
      </c>
    </row>
    <row r="252" spans="3:11" ht="21.75" customHeight="1" thickBot="1" x14ac:dyDescent="0.3">
      <c r="C252" s="1628"/>
      <c r="D252" s="1907" t="s">
        <v>6</v>
      </c>
      <c r="E252" s="1907" t="s">
        <v>7</v>
      </c>
      <c r="F252" s="1907" t="s">
        <v>7</v>
      </c>
      <c r="G252" s="1907" t="s">
        <v>7</v>
      </c>
    </row>
    <row r="253" spans="3:11" ht="19.5" thickBot="1" x14ac:dyDescent="0.3">
      <c r="C253" s="1617" t="s">
        <v>0</v>
      </c>
      <c r="D253" s="1892">
        <v>0</v>
      </c>
      <c r="E253" s="1892"/>
      <c r="F253" s="1892"/>
      <c r="G253" s="1893"/>
    </row>
    <row r="254" spans="3:11" ht="38.25" thickBot="1" x14ac:dyDescent="0.3">
      <c r="C254" s="1617" t="s">
        <v>49</v>
      </c>
      <c r="D254" s="1892">
        <v>0</v>
      </c>
      <c r="E254" s="1892"/>
      <c r="F254" s="1892"/>
      <c r="G254" s="1893"/>
    </row>
    <row r="255" spans="3:11" ht="19.5" thickBot="1" x14ac:dyDescent="0.3">
      <c r="C255" s="1617" t="s">
        <v>1</v>
      </c>
      <c r="D255" s="1892">
        <f>D245</f>
        <v>4000</v>
      </c>
      <c r="E255" s="1892">
        <f>E245</f>
        <v>4079.9999999999995</v>
      </c>
      <c r="F255" s="1892">
        <f>F245</f>
        <v>4161.6000000000004</v>
      </c>
      <c r="G255" s="1893">
        <f>G245</f>
        <v>4244.8320000000003</v>
      </c>
    </row>
    <row r="256" spans="3:11" ht="19.5" thickBot="1" x14ac:dyDescent="0.3">
      <c r="C256" s="1617" t="s">
        <v>2</v>
      </c>
      <c r="D256" s="1892">
        <v>0</v>
      </c>
      <c r="E256" s="1892"/>
      <c r="F256" s="1892"/>
      <c r="G256" s="1893"/>
    </row>
    <row r="257" spans="3:11" ht="38.25" thickBot="1" x14ac:dyDescent="0.3">
      <c r="C257" s="1617" t="s">
        <v>28</v>
      </c>
      <c r="D257" s="1892">
        <v>0</v>
      </c>
      <c r="E257" s="1892"/>
      <c r="F257" s="1892"/>
      <c r="G257" s="1893"/>
    </row>
    <row r="258" spans="3:11" ht="19.5" thickBot="1" x14ac:dyDescent="0.3">
      <c r="C258" s="1617" t="s">
        <v>30</v>
      </c>
      <c r="D258" s="1892">
        <v>0</v>
      </c>
      <c r="E258" s="1892"/>
      <c r="F258" s="1892"/>
      <c r="G258" s="1893"/>
    </row>
    <row r="259" spans="3:11" ht="38.25" thickBot="1" x14ac:dyDescent="0.3">
      <c r="C259" s="1617" t="s">
        <v>3</v>
      </c>
      <c r="D259" s="1908"/>
      <c r="E259" s="1908"/>
      <c r="F259" s="1908"/>
      <c r="G259" s="1908"/>
    </row>
    <row r="260" spans="3:11" ht="18.75" x14ac:dyDescent="0.25">
      <c r="C260" s="1630" t="s">
        <v>68</v>
      </c>
      <c r="D260" s="1892">
        <f>SUM(D253:D259)</f>
        <v>4000</v>
      </c>
      <c r="E260" s="1892">
        <f>SUM(E253:E259)</f>
        <v>4079.9999999999995</v>
      </c>
      <c r="F260" s="1892">
        <f>SUM(F253:F259)</f>
        <v>4161.6000000000004</v>
      </c>
      <c r="G260" s="1893">
        <f>SUM(G253:G259)</f>
        <v>4244.8320000000003</v>
      </c>
    </row>
    <row r="261" spans="3:11" ht="19.5" thickBot="1" x14ac:dyDescent="0.3">
      <c r="C261" s="1631" t="s">
        <v>70</v>
      </c>
      <c r="D261" s="1634">
        <f>D260-D245</f>
        <v>0</v>
      </c>
      <c r="E261" s="1634">
        <f>E260-E245</f>
        <v>0</v>
      </c>
      <c r="F261" s="1634">
        <f>F260-F245</f>
        <v>0</v>
      </c>
      <c r="G261" s="1635">
        <f>G260-G245</f>
        <v>0</v>
      </c>
    </row>
    <row r="262" spans="3:11" ht="27" customHeight="1" thickBot="1" x14ac:dyDescent="0.3">
      <c r="C262" s="2459" t="s">
        <v>614</v>
      </c>
      <c r="D262" s="2460"/>
      <c r="E262" s="2460"/>
      <c r="F262" s="2460"/>
      <c r="G262" s="2461"/>
    </row>
    <row r="263" spans="3:11" ht="34.5" customHeight="1" thickBot="1" x14ac:dyDescent="0.3">
      <c r="C263" s="2459" t="s">
        <v>613</v>
      </c>
      <c r="D263" s="2460"/>
      <c r="E263" s="2460"/>
      <c r="F263" s="2460"/>
      <c r="G263" s="2461"/>
    </row>
    <row r="264" spans="3:11" ht="19.5" thickBot="1" x14ac:dyDescent="0.3">
      <c r="C264" s="1621" t="s">
        <v>612</v>
      </c>
      <c r="D264" s="2425" t="s">
        <v>611</v>
      </c>
      <c r="E264" s="2426"/>
      <c r="F264" s="2426"/>
      <c r="G264" s="2427"/>
    </row>
    <row r="265" spans="3:11" ht="17.25" customHeight="1" thickBot="1" x14ac:dyDescent="0.3">
      <c r="C265" s="1617" t="s">
        <v>10</v>
      </c>
      <c r="D265" s="2425" t="s">
        <v>611</v>
      </c>
      <c r="E265" s="2426"/>
      <c r="F265" s="2426"/>
      <c r="G265" s="2427"/>
    </row>
    <row r="266" spans="3:11" ht="19.5" thickBot="1" x14ac:dyDescent="0.3">
      <c r="C266" s="1617" t="s">
        <v>13</v>
      </c>
      <c r="D266" s="2425" t="s">
        <v>610</v>
      </c>
      <c r="E266" s="2426"/>
      <c r="F266" s="2426"/>
      <c r="G266" s="2427"/>
    </row>
    <row r="267" spans="3:11" ht="15.75" customHeight="1" x14ac:dyDescent="0.25">
      <c r="C267" s="2428"/>
      <c r="D267" s="1614">
        <v>2018</v>
      </c>
      <c r="E267" s="1614">
        <v>2019</v>
      </c>
      <c r="F267" s="1614">
        <v>2020</v>
      </c>
      <c r="G267" s="1614">
        <v>2021</v>
      </c>
    </row>
    <row r="268" spans="3:11" ht="22.5" customHeight="1" thickBot="1" x14ac:dyDescent="0.3">
      <c r="C268" s="2429"/>
      <c r="D268" s="1615" t="s">
        <v>6</v>
      </c>
      <c r="E268" s="1615" t="s">
        <v>7</v>
      </c>
      <c r="F268" s="1615" t="s">
        <v>7</v>
      </c>
      <c r="G268" s="1615" t="s">
        <v>7</v>
      </c>
    </row>
    <row r="269" spans="3:11" ht="19.5" thickBot="1" x14ac:dyDescent="0.3">
      <c r="C269" s="1617" t="s">
        <v>9</v>
      </c>
      <c r="D269" s="1892">
        <v>40</v>
      </c>
      <c r="E269" s="1892">
        <v>40</v>
      </c>
      <c r="F269" s="1892">
        <v>40</v>
      </c>
      <c r="G269" s="1893">
        <v>40</v>
      </c>
    </row>
    <row r="270" spans="3:11" ht="19.5" thickBot="1" x14ac:dyDescent="0.3">
      <c r="C270" s="1617" t="s">
        <v>14</v>
      </c>
      <c r="D270" s="1892">
        <v>30000</v>
      </c>
      <c r="E270" s="1892">
        <v>30000</v>
      </c>
      <c r="F270" s="1892">
        <v>30000</v>
      </c>
      <c r="G270" s="1893">
        <v>30000</v>
      </c>
    </row>
    <row r="271" spans="3:11" ht="38.25" thickBot="1" x14ac:dyDescent="0.3">
      <c r="C271" s="1617" t="s">
        <v>23</v>
      </c>
      <c r="D271" s="1892">
        <f>D270/D269</f>
        <v>750</v>
      </c>
      <c r="E271" s="1892">
        <f>E270/E269</f>
        <v>750</v>
      </c>
      <c r="F271" s="1892">
        <f>F270/F269</f>
        <v>750</v>
      </c>
      <c r="G271" s="1893">
        <f>G270/G269</f>
        <v>750</v>
      </c>
    </row>
    <row r="272" spans="3:11" ht="19.5" thickBot="1" x14ac:dyDescent="0.3">
      <c r="C272" s="1617" t="s">
        <v>15</v>
      </c>
      <c r="D272" s="1883"/>
      <c r="E272" s="1884">
        <f t="shared" ref="E272:G274" si="12">E269/D269-1</f>
        <v>0</v>
      </c>
      <c r="F272" s="1884">
        <f t="shared" si="12"/>
        <v>0</v>
      </c>
      <c r="G272" s="1885">
        <f t="shared" si="12"/>
        <v>0</v>
      </c>
      <c r="I272" s="1609"/>
      <c r="J272" s="1609"/>
      <c r="K272" s="1609"/>
    </row>
    <row r="273" spans="3:7" ht="38.25" thickBot="1" x14ac:dyDescent="0.3">
      <c r="C273" s="1617" t="s">
        <v>16</v>
      </c>
      <c r="D273" s="1883"/>
      <c r="E273" s="1917">
        <f t="shared" si="12"/>
        <v>0</v>
      </c>
      <c r="F273" s="1917">
        <f t="shared" si="12"/>
        <v>0</v>
      </c>
      <c r="G273" s="1918">
        <f t="shared" si="12"/>
        <v>0</v>
      </c>
    </row>
    <row r="274" spans="3:7" ht="38.25" thickBot="1" x14ac:dyDescent="0.3">
      <c r="C274" s="1617" t="s">
        <v>17</v>
      </c>
      <c r="D274" s="1883"/>
      <c r="E274" s="1917">
        <f t="shared" si="12"/>
        <v>0</v>
      </c>
      <c r="F274" s="1917">
        <f t="shared" si="12"/>
        <v>0</v>
      </c>
      <c r="G274" s="1918">
        <f t="shared" si="12"/>
        <v>0</v>
      </c>
    </row>
    <row r="275" spans="3:7" ht="19.5" thickBot="1" x14ac:dyDescent="0.3">
      <c r="C275" s="2444" t="s">
        <v>1173</v>
      </c>
      <c r="D275" s="2445"/>
      <c r="E275" s="2445"/>
      <c r="F275" s="2445"/>
      <c r="G275" s="2446"/>
    </row>
    <row r="276" spans="3:7" ht="15" customHeight="1" x14ac:dyDescent="0.25">
      <c r="C276" s="2428"/>
      <c r="D276" s="1614">
        <v>2018</v>
      </c>
      <c r="E276" s="1614">
        <v>2019</v>
      </c>
      <c r="F276" s="1614">
        <v>2020</v>
      </c>
      <c r="G276" s="1614">
        <v>2021</v>
      </c>
    </row>
    <row r="277" spans="3:7" ht="20.25" customHeight="1" thickBot="1" x14ac:dyDescent="0.3">
      <c r="C277" s="2429"/>
      <c r="D277" s="1615" t="s">
        <v>6</v>
      </c>
      <c r="E277" s="1615" t="s">
        <v>7</v>
      </c>
      <c r="F277" s="1615" t="s">
        <v>7</v>
      </c>
      <c r="G277" s="1615" t="s">
        <v>7</v>
      </c>
    </row>
    <row r="278" spans="3:7" ht="18" customHeight="1" thickBot="1" x14ac:dyDescent="0.3">
      <c r="C278" s="1617" t="s">
        <v>104</v>
      </c>
      <c r="D278" s="1892">
        <v>0</v>
      </c>
      <c r="E278" s="1892">
        <v>0</v>
      </c>
      <c r="F278" s="1892">
        <v>0</v>
      </c>
      <c r="G278" s="1893">
        <v>0</v>
      </c>
    </row>
    <row r="279" spans="3:7" ht="18" customHeight="1" thickBot="1" x14ac:dyDescent="0.3">
      <c r="C279" s="1617" t="s">
        <v>105</v>
      </c>
      <c r="D279" s="1892">
        <f>D270</f>
        <v>30000</v>
      </c>
      <c r="E279" s="1892">
        <v>30000</v>
      </c>
      <c r="F279" s="1892">
        <v>30000</v>
      </c>
      <c r="G279" s="1893">
        <v>30000</v>
      </c>
    </row>
    <row r="280" spans="3:7" ht="18.600000000000001" customHeight="1" thickBot="1" x14ac:dyDescent="0.3">
      <c r="C280" s="1630" t="s">
        <v>68</v>
      </c>
      <c r="D280" s="1892">
        <f>D279+D278</f>
        <v>30000</v>
      </c>
      <c r="E280" s="1892">
        <f>E279+E278</f>
        <v>30000</v>
      </c>
      <c r="F280" s="1892">
        <f>F279+F278</f>
        <v>30000</v>
      </c>
      <c r="G280" s="1893">
        <f>G279+G278</f>
        <v>30000</v>
      </c>
    </row>
    <row r="281" spans="3:7" x14ac:dyDescent="0.25">
      <c r="C281" s="2447" t="s">
        <v>102</v>
      </c>
      <c r="D281" s="2450" t="s">
        <v>1172</v>
      </c>
      <c r="E281" s="2451"/>
      <c r="F281" s="2451"/>
      <c r="G281" s="2452"/>
    </row>
    <row r="282" spans="3:7" x14ac:dyDescent="0.25">
      <c r="C282" s="2448"/>
      <c r="D282" s="2453"/>
      <c r="E282" s="2454"/>
      <c r="F282" s="2454"/>
      <c r="G282" s="2455"/>
    </row>
    <row r="283" spans="3:7" ht="48" customHeight="1" thickBot="1" x14ac:dyDescent="0.3">
      <c r="C283" s="2449"/>
      <c r="D283" s="2456"/>
      <c r="E283" s="2457"/>
      <c r="F283" s="2457"/>
      <c r="G283" s="2458"/>
    </row>
    <row r="284" spans="3:7" ht="19.5" thickBot="1" x14ac:dyDescent="0.3">
      <c r="C284" s="1621" t="s">
        <v>608</v>
      </c>
      <c r="D284" s="2425" t="s">
        <v>607</v>
      </c>
      <c r="E284" s="2426"/>
      <c r="F284" s="2426"/>
      <c r="G284" s="2427"/>
    </row>
    <row r="285" spans="3:7" ht="17.25" customHeight="1" thickBot="1" x14ac:dyDescent="0.3">
      <c r="C285" s="1617" t="s">
        <v>10</v>
      </c>
      <c r="D285" s="2425" t="s">
        <v>607</v>
      </c>
      <c r="E285" s="2426"/>
      <c r="F285" s="2426"/>
      <c r="G285" s="2427"/>
    </row>
    <row r="286" spans="3:7" ht="22.5" customHeight="1" thickBot="1" x14ac:dyDescent="0.3">
      <c r="C286" s="1617" t="s">
        <v>13</v>
      </c>
      <c r="D286" s="2425" t="s">
        <v>606</v>
      </c>
      <c r="E286" s="2426"/>
      <c r="F286" s="2426"/>
      <c r="G286" s="2427"/>
    </row>
    <row r="287" spans="3:7" ht="21" customHeight="1" x14ac:dyDescent="0.25">
      <c r="C287" s="2428"/>
      <c r="D287" s="1614">
        <v>2018</v>
      </c>
      <c r="E287" s="1614">
        <v>2019</v>
      </c>
      <c r="F287" s="1614">
        <v>2020</v>
      </c>
      <c r="G287" s="1614">
        <v>2021</v>
      </c>
    </row>
    <row r="288" spans="3:7" ht="24" customHeight="1" thickBot="1" x14ac:dyDescent="0.3">
      <c r="C288" s="2429"/>
      <c r="D288" s="1615" t="s">
        <v>6</v>
      </c>
      <c r="E288" s="1615" t="s">
        <v>7</v>
      </c>
      <c r="F288" s="1615" t="s">
        <v>7</v>
      </c>
      <c r="G288" s="1615" t="s">
        <v>7</v>
      </c>
    </row>
    <row r="289" spans="3:11" ht="19.5" thickBot="1" x14ac:dyDescent="0.3">
      <c r="C289" s="1617" t="s">
        <v>9</v>
      </c>
      <c r="D289" s="1892">
        <v>117</v>
      </c>
      <c r="E289" s="1892">
        <v>108</v>
      </c>
      <c r="F289" s="1892">
        <v>86</v>
      </c>
      <c r="G289" s="1893">
        <v>86</v>
      </c>
    </row>
    <row r="290" spans="3:11" ht="19.5" thickBot="1" x14ac:dyDescent="0.3">
      <c r="C290" s="1617" t="s">
        <v>14</v>
      </c>
      <c r="D290" s="1892">
        <v>537189</v>
      </c>
      <c r="E290" s="1892">
        <v>500000</v>
      </c>
      <c r="F290" s="1892">
        <v>400000</v>
      </c>
      <c r="G290" s="1893">
        <v>400000</v>
      </c>
    </row>
    <row r="291" spans="3:11" ht="38.25" thickBot="1" x14ac:dyDescent="0.3">
      <c r="C291" s="1617" t="s">
        <v>23</v>
      </c>
      <c r="D291" s="1892">
        <f>D290/D289</f>
        <v>4591.3589743589746</v>
      </c>
      <c r="E291" s="1892">
        <f>E290/E289</f>
        <v>4629.6296296296296</v>
      </c>
      <c r="F291" s="1892">
        <f>F290/F289</f>
        <v>4651.1627906976746</v>
      </c>
      <c r="G291" s="1893">
        <f>G290/G289</f>
        <v>4651.1627906976746</v>
      </c>
    </row>
    <row r="292" spans="3:11" ht="19.5" thickBot="1" x14ac:dyDescent="0.3">
      <c r="C292" s="1617" t="s">
        <v>15</v>
      </c>
      <c r="D292" s="1892"/>
      <c r="E292" s="1919">
        <f t="shared" ref="E292:G294" si="13">E289/D289-1</f>
        <v>-7.6923076923076872E-2</v>
      </c>
      <c r="F292" s="1919">
        <f t="shared" si="13"/>
        <v>-0.20370370370370372</v>
      </c>
      <c r="G292" s="1920">
        <f t="shared" si="13"/>
        <v>0</v>
      </c>
      <c r="I292" s="1609"/>
      <c r="J292" s="1609"/>
      <c r="K292" s="1609"/>
    </row>
    <row r="293" spans="3:11" ht="38.25" thickBot="1" x14ac:dyDescent="0.3">
      <c r="C293" s="1617" t="s">
        <v>16</v>
      </c>
      <c r="D293" s="1892"/>
      <c r="E293" s="1919">
        <f t="shared" si="13"/>
        <v>-6.922889336900051E-2</v>
      </c>
      <c r="F293" s="1919">
        <f t="shared" si="13"/>
        <v>-0.19999999999999996</v>
      </c>
      <c r="G293" s="1920">
        <f t="shared" si="13"/>
        <v>0</v>
      </c>
    </row>
    <row r="294" spans="3:11" ht="38.25" thickBot="1" x14ac:dyDescent="0.3">
      <c r="C294" s="1617" t="s">
        <v>17</v>
      </c>
      <c r="D294" s="1892"/>
      <c r="E294" s="1919">
        <f t="shared" si="13"/>
        <v>8.335365516916049E-3</v>
      </c>
      <c r="F294" s="1919">
        <f t="shared" si="13"/>
        <v>4.6511627906977715E-3</v>
      </c>
      <c r="G294" s="1920">
        <f t="shared" si="13"/>
        <v>0</v>
      </c>
    </row>
    <row r="295" spans="3:11" ht="19.5" thickBot="1" x14ac:dyDescent="0.3">
      <c r="C295" s="2444" t="s">
        <v>1173</v>
      </c>
      <c r="D295" s="2445"/>
      <c r="E295" s="2445"/>
      <c r="F295" s="2445"/>
      <c r="G295" s="2446"/>
    </row>
    <row r="296" spans="3:11" ht="12.75" customHeight="1" x14ac:dyDescent="0.25">
      <c r="C296" s="2428"/>
      <c r="D296" s="1614">
        <v>2018</v>
      </c>
      <c r="E296" s="1614">
        <v>2019</v>
      </c>
      <c r="F296" s="1614">
        <v>2020</v>
      </c>
      <c r="G296" s="1614">
        <v>2021</v>
      </c>
    </row>
    <row r="297" spans="3:11" ht="15" customHeight="1" thickBot="1" x14ac:dyDescent="0.3">
      <c r="C297" s="2429"/>
      <c r="D297" s="1615" t="s">
        <v>6</v>
      </c>
      <c r="E297" s="1615" t="s">
        <v>7</v>
      </c>
      <c r="F297" s="1615" t="s">
        <v>7</v>
      </c>
      <c r="G297" s="1615" t="s">
        <v>7</v>
      </c>
    </row>
    <row r="298" spans="3:11" ht="19.5" thickBot="1" x14ac:dyDescent="0.3">
      <c r="C298" s="1617" t="s">
        <v>104</v>
      </c>
      <c r="D298" s="1629"/>
      <c r="E298" s="1629"/>
      <c r="F298" s="1629"/>
      <c r="G298" s="1629"/>
    </row>
    <row r="299" spans="3:11" ht="19.5" thickBot="1" x14ac:dyDescent="0.3">
      <c r="C299" s="1617" t="s">
        <v>105</v>
      </c>
      <c r="D299" s="1892">
        <f>D290</f>
        <v>537189</v>
      </c>
      <c r="E299" s="1892">
        <f>E290</f>
        <v>500000</v>
      </c>
      <c r="F299" s="1892">
        <f>F290</f>
        <v>400000</v>
      </c>
      <c r="G299" s="1893">
        <f>G290</f>
        <v>400000</v>
      </c>
    </row>
    <row r="300" spans="3:11" ht="19.5" thickBot="1" x14ac:dyDescent="0.3">
      <c r="C300" s="1630" t="s">
        <v>68</v>
      </c>
      <c r="D300" s="1892">
        <f>D299+D298</f>
        <v>537189</v>
      </c>
      <c r="E300" s="1892">
        <f>E299+E298</f>
        <v>500000</v>
      </c>
      <c r="F300" s="1892">
        <f>F299+F298</f>
        <v>400000</v>
      </c>
      <c r="G300" s="1893">
        <f>G299+G298</f>
        <v>400000</v>
      </c>
    </row>
    <row r="301" spans="3:11" x14ac:dyDescent="0.25">
      <c r="C301" s="2447" t="s">
        <v>102</v>
      </c>
      <c r="D301" s="2450" t="s">
        <v>605</v>
      </c>
      <c r="E301" s="2451"/>
      <c r="F301" s="2451"/>
      <c r="G301" s="2452"/>
    </row>
    <row r="302" spans="3:11" x14ac:dyDescent="0.25">
      <c r="C302" s="2448"/>
      <c r="D302" s="2453"/>
      <c r="E302" s="2454"/>
      <c r="F302" s="2454"/>
      <c r="G302" s="2455"/>
    </row>
    <row r="303" spans="3:11" ht="127.5" customHeight="1" thickBot="1" x14ac:dyDescent="0.3">
      <c r="C303" s="2449"/>
      <c r="D303" s="2456"/>
      <c r="E303" s="2457"/>
      <c r="F303" s="2457"/>
      <c r="G303" s="2458"/>
    </row>
    <row r="304" spans="3:11" ht="64.5" customHeight="1" thickBot="1" x14ac:dyDescent="0.3">
      <c r="C304" s="1621" t="s">
        <v>604</v>
      </c>
      <c r="D304" s="2422" t="s">
        <v>603</v>
      </c>
      <c r="E304" s="2423"/>
      <c r="F304" s="2423"/>
      <c r="G304" s="2424"/>
    </row>
    <row r="305" spans="3:11" ht="43.15" customHeight="1" thickBot="1" x14ac:dyDescent="0.3">
      <c r="C305" s="1617" t="s">
        <v>10</v>
      </c>
      <c r="D305" s="2422" t="s">
        <v>603</v>
      </c>
      <c r="E305" s="2423"/>
      <c r="F305" s="2423"/>
      <c r="G305" s="2424"/>
    </row>
    <row r="306" spans="3:11" ht="19.5" thickBot="1" x14ac:dyDescent="0.3">
      <c r="C306" s="1617" t="s">
        <v>13</v>
      </c>
      <c r="D306" s="2425" t="s">
        <v>602</v>
      </c>
      <c r="E306" s="2426"/>
      <c r="F306" s="2426"/>
      <c r="G306" s="2427"/>
    </row>
    <row r="307" spans="3:11" ht="27.75" customHeight="1" x14ac:dyDescent="0.25">
      <c r="C307" s="2428"/>
      <c r="D307" s="1614">
        <v>2018</v>
      </c>
      <c r="E307" s="1614">
        <v>2019</v>
      </c>
      <c r="F307" s="1614">
        <v>2020</v>
      </c>
      <c r="G307" s="1614">
        <v>2021</v>
      </c>
    </row>
    <row r="308" spans="3:11" ht="22.15" customHeight="1" thickBot="1" x14ac:dyDescent="0.3">
      <c r="C308" s="2429"/>
      <c r="D308" s="1615" t="s">
        <v>6</v>
      </c>
      <c r="E308" s="1615" t="s">
        <v>7</v>
      </c>
      <c r="F308" s="1615" t="s">
        <v>7</v>
      </c>
      <c r="G308" s="1615" t="s">
        <v>7</v>
      </c>
    </row>
    <row r="309" spans="3:11" ht="19.5" thickBot="1" x14ac:dyDescent="0.3">
      <c r="C309" s="1617" t="s">
        <v>9</v>
      </c>
      <c r="D309" s="1883">
        <v>317</v>
      </c>
      <c r="E309" s="1883">
        <v>192</v>
      </c>
      <c r="F309" s="1883">
        <v>400</v>
      </c>
      <c r="G309" s="1921">
        <v>320</v>
      </c>
    </row>
    <row r="310" spans="3:11" ht="19.5" thickBot="1" x14ac:dyDescent="0.3">
      <c r="C310" s="1617" t="s">
        <v>14</v>
      </c>
      <c r="D310" s="1922">
        <f>1097947+22811</f>
        <v>1120758</v>
      </c>
      <c r="E310" s="1923">
        <f>680000</f>
        <v>680000</v>
      </c>
      <c r="F310" s="1923">
        <v>1417000</v>
      </c>
      <c r="G310" s="1924">
        <v>1147000</v>
      </c>
    </row>
    <row r="311" spans="3:11" ht="38.25" thickBot="1" x14ac:dyDescent="0.3">
      <c r="C311" s="1617" t="s">
        <v>23</v>
      </c>
      <c r="D311" s="1925">
        <f>D310/D309</f>
        <v>3535.5141955835961</v>
      </c>
      <c r="E311" s="1925">
        <f>E310/E309</f>
        <v>3541.6666666666665</v>
      </c>
      <c r="F311" s="1925">
        <f>F310/F309</f>
        <v>3542.5</v>
      </c>
      <c r="G311" s="1926">
        <f>G310/G309</f>
        <v>3584.375</v>
      </c>
    </row>
    <row r="312" spans="3:11" ht="19.5" thickBot="1" x14ac:dyDescent="0.3">
      <c r="C312" s="1617" t="s">
        <v>15</v>
      </c>
      <c r="D312" s="1883"/>
      <c r="E312" s="1884">
        <f t="shared" ref="E312:G314" si="14">E309/D309-1</f>
        <v>-0.39432176656151419</v>
      </c>
      <c r="F312" s="1884">
        <f t="shared" si="14"/>
        <v>1.0833333333333335</v>
      </c>
      <c r="G312" s="1885">
        <f t="shared" si="14"/>
        <v>-0.19999999999999996</v>
      </c>
      <c r="I312" s="1609"/>
      <c r="J312" s="1609"/>
      <c r="K312" s="1609"/>
    </row>
    <row r="313" spans="3:11" ht="38.25" thickBot="1" x14ac:dyDescent="0.3">
      <c r="C313" s="1617" t="s">
        <v>16</v>
      </c>
      <c r="D313" s="1883"/>
      <c r="E313" s="1884">
        <f t="shared" si="14"/>
        <v>-0.3932677705624229</v>
      </c>
      <c r="F313" s="1884">
        <f t="shared" si="14"/>
        <v>1.0838235294117649</v>
      </c>
      <c r="G313" s="1885">
        <f t="shared" si="14"/>
        <v>-0.19054340155257588</v>
      </c>
    </row>
    <row r="314" spans="3:11" ht="38.25" thickBot="1" x14ac:dyDescent="0.3">
      <c r="C314" s="1617" t="s">
        <v>17</v>
      </c>
      <c r="D314" s="1883"/>
      <c r="E314" s="1884">
        <f t="shared" si="14"/>
        <v>1.7401913109995615E-3</v>
      </c>
      <c r="F314" s="1884">
        <f t="shared" si="14"/>
        <v>2.3529411764711128E-4</v>
      </c>
      <c r="G314" s="1885">
        <f t="shared" si="14"/>
        <v>1.1820748059280239E-2</v>
      </c>
    </row>
    <row r="315" spans="3:11" ht="19.149999999999999" customHeight="1" thickBot="1" x14ac:dyDescent="0.3">
      <c r="C315" s="2479" t="s">
        <v>1202</v>
      </c>
      <c r="D315" s="2480"/>
      <c r="E315" s="2480"/>
      <c r="F315" s="2480"/>
      <c r="G315" s="2481"/>
    </row>
    <row r="316" spans="3:11" ht="12.75" customHeight="1" x14ac:dyDescent="0.25">
      <c r="C316" s="1627"/>
      <c r="D316" s="1614">
        <v>2018</v>
      </c>
      <c r="E316" s="1614">
        <v>2019</v>
      </c>
      <c r="F316" s="1614">
        <v>2020</v>
      </c>
      <c r="G316" s="1614">
        <v>2021</v>
      </c>
    </row>
    <row r="317" spans="3:11" ht="21" customHeight="1" thickBot="1" x14ac:dyDescent="0.3">
      <c r="C317" s="1628"/>
      <c r="D317" s="1615" t="s">
        <v>6</v>
      </c>
      <c r="E317" s="1615" t="s">
        <v>7</v>
      </c>
      <c r="F317" s="1615" t="s">
        <v>7</v>
      </c>
      <c r="G317" s="1615" t="s">
        <v>7</v>
      </c>
    </row>
    <row r="318" spans="3:11" ht="19.5" thickBot="1" x14ac:dyDescent="0.3">
      <c r="C318" s="1617" t="s">
        <v>104</v>
      </c>
      <c r="D318" s="1941">
        <v>0</v>
      </c>
      <c r="E318" s="1941">
        <v>0</v>
      </c>
      <c r="F318" s="1941">
        <v>0</v>
      </c>
      <c r="G318" s="1942">
        <v>0</v>
      </c>
    </row>
    <row r="319" spans="3:11" ht="19.5" thickBot="1" x14ac:dyDescent="0.3">
      <c r="C319" s="1617" t="s">
        <v>105</v>
      </c>
      <c r="D319" s="1941">
        <f>D310</f>
        <v>1120758</v>
      </c>
      <c r="E319" s="1941">
        <f>E310</f>
        <v>680000</v>
      </c>
      <c r="F319" s="1941">
        <f>F310</f>
        <v>1417000</v>
      </c>
      <c r="G319" s="1942">
        <f>G310</f>
        <v>1147000</v>
      </c>
    </row>
    <row r="320" spans="3:11" ht="19.5" thickBot="1" x14ac:dyDescent="0.3">
      <c r="C320" s="1617" t="s">
        <v>68</v>
      </c>
      <c r="D320" s="1941">
        <f>SUM(D318:D319)</f>
        <v>1120758</v>
      </c>
      <c r="E320" s="1941">
        <f>SUM(E318:E319)</f>
        <v>680000</v>
      </c>
      <c r="F320" s="1941">
        <f>SUM(F318:F319)</f>
        <v>1417000</v>
      </c>
      <c r="G320" s="1942">
        <f>SUM(G318:G319)</f>
        <v>1147000</v>
      </c>
    </row>
    <row r="321" spans="3:11" ht="144" customHeight="1" thickBot="1" x14ac:dyDescent="0.3">
      <c r="C321" s="1617" t="s">
        <v>102</v>
      </c>
      <c r="D321" s="2482" t="s">
        <v>600</v>
      </c>
      <c r="E321" s="2483"/>
      <c r="F321" s="2483"/>
      <c r="G321" s="2484"/>
    </row>
    <row r="322" spans="3:11" ht="19.5" thickBot="1" x14ac:dyDescent="0.3">
      <c r="C322" s="1631" t="s">
        <v>70</v>
      </c>
      <c r="D322" s="1632">
        <f>D320-D310</f>
        <v>0</v>
      </c>
      <c r="E322" s="1632">
        <f>E320-E310</f>
        <v>0</v>
      </c>
      <c r="F322" s="1632">
        <f>F320-F310</f>
        <v>0</v>
      </c>
      <c r="G322" s="1632">
        <f>G320-G310</f>
        <v>0</v>
      </c>
    </row>
    <row r="323" spans="3:11" ht="19.5" thickBot="1" x14ac:dyDescent="0.3">
      <c r="C323" s="1621" t="s">
        <v>599</v>
      </c>
      <c r="D323" s="2425" t="s">
        <v>598</v>
      </c>
      <c r="E323" s="2426"/>
      <c r="F323" s="2426"/>
      <c r="G323" s="2427"/>
    </row>
    <row r="324" spans="3:11" ht="17.25" customHeight="1" thickBot="1" x14ac:dyDescent="0.3">
      <c r="C324" s="1617" t="s">
        <v>10</v>
      </c>
      <c r="D324" s="2425" t="s">
        <v>598</v>
      </c>
      <c r="E324" s="2426"/>
      <c r="F324" s="2426"/>
      <c r="G324" s="2427"/>
    </row>
    <row r="325" spans="3:11" ht="19.5" thickBot="1" x14ac:dyDescent="0.3">
      <c r="C325" s="1617" t="s">
        <v>13</v>
      </c>
      <c r="D325" s="2425" t="s">
        <v>597</v>
      </c>
      <c r="E325" s="2426"/>
      <c r="F325" s="2426"/>
      <c r="G325" s="2427"/>
    </row>
    <row r="326" spans="3:11" ht="25.5" customHeight="1" x14ac:dyDescent="0.25">
      <c r="C326" s="2428"/>
      <c r="D326" s="1614">
        <v>2018</v>
      </c>
      <c r="E326" s="1614">
        <v>2019</v>
      </c>
      <c r="F326" s="1614">
        <v>2020</v>
      </c>
      <c r="G326" s="1614">
        <v>2021</v>
      </c>
    </row>
    <row r="327" spans="3:11" ht="26.25" customHeight="1" thickBot="1" x14ac:dyDescent="0.3">
      <c r="C327" s="2429"/>
      <c r="D327" s="1615" t="s">
        <v>6</v>
      </c>
      <c r="E327" s="1615" t="s">
        <v>7</v>
      </c>
      <c r="F327" s="1615" t="s">
        <v>7</v>
      </c>
      <c r="G327" s="1615" t="s">
        <v>7</v>
      </c>
    </row>
    <row r="328" spans="3:11" ht="19.5" thickBot="1" x14ac:dyDescent="0.3">
      <c r="C328" s="1617" t="s">
        <v>9</v>
      </c>
      <c r="D328" s="1883">
        <v>200</v>
      </c>
      <c r="E328" s="1883">
        <v>163</v>
      </c>
      <c r="F328" s="1883">
        <v>260</v>
      </c>
      <c r="G328" s="1921">
        <v>163</v>
      </c>
    </row>
    <row r="329" spans="3:11" ht="19.5" thickBot="1" x14ac:dyDescent="0.3">
      <c r="C329" s="1617" t="s">
        <v>14</v>
      </c>
      <c r="D329" s="1922">
        <v>60000</v>
      </c>
      <c r="E329" s="1922">
        <v>50000</v>
      </c>
      <c r="F329" s="1922">
        <v>80000</v>
      </c>
      <c r="G329" s="1927">
        <v>50000</v>
      </c>
    </row>
    <row r="330" spans="3:11" ht="38.25" thickBot="1" x14ac:dyDescent="0.3">
      <c r="C330" s="1617" t="s">
        <v>23</v>
      </c>
      <c r="D330" s="1922">
        <f>D329/D328</f>
        <v>300</v>
      </c>
      <c r="E330" s="1922">
        <f>E329/E328</f>
        <v>306.74846625766872</v>
      </c>
      <c r="F330" s="1922">
        <f>F329/F328</f>
        <v>307.69230769230768</v>
      </c>
      <c r="G330" s="1927">
        <f>G329/G328</f>
        <v>306.74846625766872</v>
      </c>
    </row>
    <row r="331" spans="3:11" ht="19.5" thickBot="1" x14ac:dyDescent="0.3">
      <c r="C331" s="1617" t="s">
        <v>15</v>
      </c>
      <c r="D331" s="1883"/>
      <c r="E331" s="1884">
        <f t="shared" ref="E331:G333" si="15">E328/D328-1</f>
        <v>-0.18500000000000005</v>
      </c>
      <c r="F331" s="1884">
        <f t="shared" si="15"/>
        <v>0.5950920245398772</v>
      </c>
      <c r="G331" s="1885">
        <f t="shared" si="15"/>
        <v>-0.37307692307692308</v>
      </c>
      <c r="I331" s="1609"/>
      <c r="J331" s="1609"/>
      <c r="K331" s="1609"/>
    </row>
    <row r="332" spans="3:11" ht="38.25" thickBot="1" x14ac:dyDescent="0.3">
      <c r="C332" s="1617" t="s">
        <v>16</v>
      </c>
      <c r="D332" s="1883"/>
      <c r="E332" s="1884">
        <f t="shared" si="15"/>
        <v>-0.16666666666666663</v>
      </c>
      <c r="F332" s="1884">
        <f t="shared" si="15"/>
        <v>0.60000000000000009</v>
      </c>
      <c r="G332" s="1885">
        <f t="shared" si="15"/>
        <v>-0.375</v>
      </c>
    </row>
    <row r="333" spans="3:11" ht="38.25" thickBot="1" x14ac:dyDescent="0.3">
      <c r="C333" s="1617" t="s">
        <v>17</v>
      </c>
      <c r="D333" s="1883"/>
      <c r="E333" s="1884">
        <f t="shared" si="15"/>
        <v>2.249488752556239E-2</v>
      </c>
      <c r="F333" s="1884">
        <f t="shared" si="15"/>
        <v>3.0769230769229772E-3</v>
      </c>
      <c r="G333" s="1885">
        <f t="shared" si="15"/>
        <v>-3.0674846625765584E-3</v>
      </c>
    </row>
    <row r="334" spans="3:11" ht="20.45" customHeight="1" thickBot="1" x14ac:dyDescent="0.3">
      <c r="C334" s="2444" t="s">
        <v>1203</v>
      </c>
      <c r="D334" s="2445"/>
      <c r="E334" s="2445"/>
      <c r="F334" s="2445"/>
      <c r="G334" s="2446"/>
    </row>
    <row r="335" spans="3:11" ht="29.25" customHeight="1" x14ac:dyDescent="0.25">
      <c r="C335" s="1627"/>
      <c r="D335" s="1614">
        <v>2018</v>
      </c>
      <c r="E335" s="1614">
        <v>2019</v>
      </c>
      <c r="F335" s="1614">
        <v>2020</v>
      </c>
      <c r="G335" s="1614">
        <v>2021</v>
      </c>
    </row>
    <row r="336" spans="3:11" ht="19.5" thickBot="1" x14ac:dyDescent="0.3">
      <c r="C336" s="1628"/>
      <c r="D336" s="1615" t="s">
        <v>6</v>
      </c>
      <c r="E336" s="1615" t="s">
        <v>7</v>
      </c>
      <c r="F336" s="1615" t="s">
        <v>7</v>
      </c>
      <c r="G336" s="1615" t="s">
        <v>7</v>
      </c>
    </row>
    <row r="337" spans="3:11" ht="19.5" thickBot="1" x14ac:dyDescent="0.3">
      <c r="C337" s="1617" t="s">
        <v>104</v>
      </c>
      <c r="D337" s="1908">
        <v>0</v>
      </c>
      <c r="E337" s="1908">
        <v>0</v>
      </c>
      <c r="F337" s="1908">
        <v>0</v>
      </c>
      <c r="G337" s="1908">
        <v>0</v>
      </c>
    </row>
    <row r="338" spans="3:11" ht="19.5" thickBot="1" x14ac:dyDescent="0.3">
      <c r="C338" s="1617" t="s">
        <v>105</v>
      </c>
      <c r="D338" s="1606">
        <f>D329</f>
        <v>60000</v>
      </c>
      <c r="E338" s="1606">
        <f>E329</f>
        <v>50000</v>
      </c>
      <c r="F338" s="1606">
        <f>F329</f>
        <v>80000</v>
      </c>
      <c r="G338" s="1606">
        <f>G329</f>
        <v>50000</v>
      </c>
    </row>
    <row r="339" spans="3:11" ht="19.5" thickBot="1" x14ac:dyDescent="0.3">
      <c r="C339" s="1931" t="s">
        <v>68</v>
      </c>
      <c r="D339" s="1928">
        <f>SUM(D337:D338)</f>
        <v>60000</v>
      </c>
      <c r="E339" s="1928">
        <f>E329</f>
        <v>50000</v>
      </c>
      <c r="F339" s="1928">
        <f>F329</f>
        <v>80000</v>
      </c>
      <c r="G339" s="1929">
        <f>G329</f>
        <v>50000</v>
      </c>
    </row>
    <row r="340" spans="3:11" ht="40.9" customHeight="1" thickBot="1" x14ac:dyDescent="0.3">
      <c r="C340" s="1617" t="s">
        <v>102</v>
      </c>
      <c r="D340" s="2438"/>
      <c r="E340" s="2439"/>
      <c r="F340" s="2439"/>
      <c r="G340" s="2440"/>
    </row>
    <row r="341" spans="3:11" ht="19.5" thickBot="1" x14ac:dyDescent="0.3">
      <c r="C341" s="1631" t="s">
        <v>70</v>
      </c>
      <c r="D341" s="1632">
        <f>D339-D329</f>
        <v>0</v>
      </c>
      <c r="E341" s="1632">
        <f>E339-E329</f>
        <v>0</v>
      </c>
      <c r="F341" s="1632">
        <f>F339-F329</f>
        <v>0</v>
      </c>
      <c r="G341" s="1632">
        <f>G339-G329</f>
        <v>0</v>
      </c>
    </row>
    <row r="342" spans="3:11" ht="19.5" thickBot="1" x14ac:dyDescent="0.3">
      <c r="C342" s="1621" t="s">
        <v>595</v>
      </c>
      <c r="D342" s="2425" t="s">
        <v>594</v>
      </c>
      <c r="E342" s="2426"/>
      <c r="F342" s="2426"/>
      <c r="G342" s="2427"/>
    </row>
    <row r="343" spans="3:11" ht="17.25" customHeight="1" thickBot="1" x14ac:dyDescent="0.3">
      <c r="C343" s="1617" t="s">
        <v>10</v>
      </c>
      <c r="D343" s="2425" t="s">
        <v>594</v>
      </c>
      <c r="E343" s="2426"/>
      <c r="F343" s="2426"/>
      <c r="G343" s="2427"/>
    </row>
    <row r="344" spans="3:11" ht="19.5" thickBot="1" x14ac:dyDescent="0.3">
      <c r="C344" s="1617" t="s">
        <v>13</v>
      </c>
      <c r="D344" s="2425" t="s">
        <v>593</v>
      </c>
      <c r="E344" s="2426"/>
      <c r="F344" s="2426"/>
      <c r="G344" s="2427"/>
    </row>
    <row r="345" spans="3:11" ht="25.5" customHeight="1" x14ac:dyDescent="0.25">
      <c r="C345" s="2428"/>
      <c r="D345" s="1614">
        <v>2018</v>
      </c>
      <c r="E345" s="1614">
        <v>2019</v>
      </c>
      <c r="F345" s="1614">
        <v>2020</v>
      </c>
      <c r="G345" s="1614">
        <v>2021</v>
      </c>
    </row>
    <row r="346" spans="3:11" ht="20.25" customHeight="1" thickBot="1" x14ac:dyDescent="0.3">
      <c r="C346" s="2429"/>
      <c r="D346" s="1615" t="s">
        <v>6</v>
      </c>
      <c r="E346" s="1615" t="s">
        <v>7</v>
      </c>
      <c r="F346" s="1615" t="s">
        <v>7</v>
      </c>
      <c r="G346" s="1615" t="s">
        <v>7</v>
      </c>
    </row>
    <row r="347" spans="3:11" ht="19.5" thickBot="1" x14ac:dyDescent="0.3">
      <c r="C347" s="1617" t="s">
        <v>9</v>
      </c>
      <c r="D347" s="1930">
        <v>30000</v>
      </c>
      <c r="E347" s="1930">
        <v>30000</v>
      </c>
      <c r="F347" s="1930">
        <v>30000</v>
      </c>
      <c r="G347" s="1930">
        <v>30000</v>
      </c>
    </row>
    <row r="348" spans="3:11" ht="19.5" thickBot="1" x14ac:dyDescent="0.3">
      <c r="C348" s="1617" t="s">
        <v>14</v>
      </c>
      <c r="D348" s="1930">
        <v>10000</v>
      </c>
      <c r="E348" s="1930">
        <v>10000</v>
      </c>
      <c r="F348" s="1930">
        <v>10000</v>
      </c>
      <c r="G348" s="1930">
        <v>10000</v>
      </c>
    </row>
    <row r="349" spans="3:11" ht="38.25" thickBot="1" x14ac:dyDescent="0.3">
      <c r="C349" s="1617" t="s">
        <v>23</v>
      </c>
      <c r="D349" s="1932">
        <f>D348/D347</f>
        <v>0.33333333333333331</v>
      </c>
      <c r="E349" s="1932">
        <f t="shared" ref="E349:G349" si="16">E348/E347</f>
        <v>0.33333333333333331</v>
      </c>
      <c r="F349" s="1932">
        <f t="shared" si="16"/>
        <v>0.33333333333333331</v>
      </c>
      <c r="G349" s="1932">
        <f t="shared" si="16"/>
        <v>0.33333333333333331</v>
      </c>
    </row>
    <row r="350" spans="3:11" ht="19.5" thickBot="1" x14ac:dyDescent="0.3">
      <c r="C350" s="1617" t="s">
        <v>15</v>
      </c>
      <c r="D350" s="1622"/>
      <c r="E350" s="1934">
        <f t="shared" ref="E350:G352" si="17">E347/D347-1</f>
        <v>0</v>
      </c>
      <c r="F350" s="1934">
        <f t="shared" si="17"/>
        <v>0</v>
      </c>
      <c r="G350" s="1935">
        <f t="shared" si="17"/>
        <v>0</v>
      </c>
      <c r="I350" s="1609"/>
      <c r="J350" s="1609"/>
      <c r="K350" s="1609"/>
    </row>
    <row r="351" spans="3:11" ht="38.25" thickBot="1" x14ac:dyDescent="0.3">
      <c r="C351" s="1617" t="s">
        <v>16</v>
      </c>
      <c r="D351" s="1622"/>
      <c r="E351" s="1934">
        <f t="shared" si="17"/>
        <v>0</v>
      </c>
      <c r="F351" s="1934">
        <f t="shared" si="17"/>
        <v>0</v>
      </c>
      <c r="G351" s="1935">
        <f t="shared" si="17"/>
        <v>0</v>
      </c>
    </row>
    <row r="352" spans="3:11" ht="38.25" thickBot="1" x14ac:dyDescent="0.3">
      <c r="C352" s="1617" t="s">
        <v>17</v>
      </c>
      <c r="D352" s="1622"/>
      <c r="E352" s="1934">
        <f t="shared" si="17"/>
        <v>0</v>
      </c>
      <c r="F352" s="1934">
        <f t="shared" si="17"/>
        <v>0</v>
      </c>
      <c r="G352" s="1935">
        <f t="shared" si="17"/>
        <v>0</v>
      </c>
    </row>
    <row r="353" spans="3:7" ht="25.9" customHeight="1" thickBot="1" x14ac:dyDescent="0.3">
      <c r="C353" s="1624" t="s">
        <v>1204</v>
      </c>
      <c r="D353" s="1625"/>
      <c r="E353" s="1625"/>
      <c r="F353" s="1625"/>
      <c r="G353" s="1626"/>
    </row>
    <row r="354" spans="3:7" ht="27.75" customHeight="1" x14ac:dyDescent="0.25">
      <c r="C354" s="1627"/>
      <c r="D354" s="1614">
        <v>2018</v>
      </c>
      <c r="E354" s="1614">
        <v>2019</v>
      </c>
      <c r="F354" s="1614">
        <v>2020</v>
      </c>
      <c r="G354" s="1614">
        <v>2021</v>
      </c>
    </row>
    <row r="355" spans="3:7" ht="28.5" customHeight="1" thickBot="1" x14ac:dyDescent="0.3">
      <c r="C355" s="1628"/>
      <c r="D355" s="1615" t="s">
        <v>6</v>
      </c>
      <c r="E355" s="1615" t="s">
        <v>7</v>
      </c>
      <c r="F355" s="1615" t="s">
        <v>7</v>
      </c>
      <c r="G355" s="1615" t="s">
        <v>7</v>
      </c>
    </row>
    <row r="356" spans="3:7" ht="19.5" thickBot="1" x14ac:dyDescent="0.3">
      <c r="C356" s="1617" t="s">
        <v>104</v>
      </c>
      <c r="D356" s="1607">
        <v>0</v>
      </c>
      <c r="E356" s="1607">
        <v>0</v>
      </c>
      <c r="F356" s="1607">
        <v>0</v>
      </c>
      <c r="G356" s="1636">
        <v>0</v>
      </c>
    </row>
    <row r="357" spans="3:7" ht="19.5" thickBot="1" x14ac:dyDescent="0.3">
      <c r="C357" s="1617" t="s">
        <v>105</v>
      </c>
      <c r="D357" s="1607">
        <f>D348</f>
        <v>10000</v>
      </c>
      <c r="E357" s="1607">
        <f>E348</f>
        <v>10000</v>
      </c>
      <c r="F357" s="1607">
        <f>F348</f>
        <v>10000</v>
      </c>
      <c r="G357" s="1636">
        <f>G348</f>
        <v>10000</v>
      </c>
    </row>
    <row r="358" spans="3:7" ht="19.5" thickBot="1" x14ac:dyDescent="0.3">
      <c r="C358" s="1931" t="s">
        <v>68</v>
      </c>
      <c r="D358" s="1607">
        <f>SUM(D356:D357)</f>
        <v>10000</v>
      </c>
      <c r="E358" s="1607">
        <f>E348</f>
        <v>10000</v>
      </c>
      <c r="F358" s="1607">
        <f>F348</f>
        <v>10000</v>
      </c>
      <c r="G358" s="1636">
        <f>G348</f>
        <v>10000</v>
      </c>
    </row>
    <row r="359" spans="3:7" ht="40.9" customHeight="1" thickBot="1" x14ac:dyDescent="0.3">
      <c r="C359" s="1617" t="s">
        <v>102</v>
      </c>
      <c r="D359" s="2438"/>
      <c r="E359" s="2439"/>
      <c r="F359" s="2439"/>
      <c r="G359" s="2440"/>
    </row>
    <row r="360" spans="3:7" ht="21" customHeight="1" thickBot="1" x14ac:dyDescent="0.3">
      <c r="C360" s="1631" t="s">
        <v>70</v>
      </c>
      <c r="D360" s="1632">
        <f>D358-D348</f>
        <v>0</v>
      </c>
      <c r="E360" s="1632">
        <f>E358-E348</f>
        <v>0</v>
      </c>
      <c r="F360" s="1632">
        <f>F358-F348</f>
        <v>0</v>
      </c>
      <c r="G360" s="1632">
        <f>G358-G348</f>
        <v>0</v>
      </c>
    </row>
    <row r="361" spans="3:7" ht="19.5" thickBot="1" x14ac:dyDescent="0.3">
      <c r="C361" s="1631"/>
      <c r="D361" s="1632"/>
      <c r="E361" s="1632"/>
      <c r="F361" s="1632"/>
      <c r="G361" s="1632"/>
    </row>
    <row r="362" spans="3:7" ht="68.25" customHeight="1" thickBot="1" x14ac:dyDescent="0.3">
      <c r="C362" s="1936" t="s">
        <v>116</v>
      </c>
      <c r="D362" s="1937">
        <f>D38+D73+D96+D126+D159+D182+D215+D245+D270+D290+D310+D329+D348</f>
        <v>22174527</v>
      </c>
      <c r="E362" s="1937">
        <f>E38+E73+E96+E126+E159+E182+E215+E245+E270+E290+E310+E329+E348</f>
        <v>22065000.014985312</v>
      </c>
      <c r="F362" s="1937">
        <f>F38+F73+F96+F126+F159+F182+F215+F245+F270+F290+F310+F329+F348</f>
        <v>22937000.02232508</v>
      </c>
      <c r="G362" s="1938">
        <f>G38+G73+G96+G126+G159+G182+G215+G245+G270+G290+G310+G329+G348</f>
        <v>22637000.047672443</v>
      </c>
    </row>
    <row r="363" spans="3:7" ht="45" customHeight="1" thickBot="1" x14ac:dyDescent="0.3">
      <c r="C363" s="1936" t="s">
        <v>117</v>
      </c>
      <c r="D363" s="1937">
        <f>D365+D367+D369+D371+D373+D375+D377+D379+D381</f>
        <v>22174527</v>
      </c>
      <c r="E363" s="1937">
        <f t="shared" ref="E363:G363" si="18">E365+E367+E369+E371+E373+E375+E377+E379+E381</f>
        <v>22065000.014985312</v>
      </c>
      <c r="F363" s="1937">
        <f t="shared" si="18"/>
        <v>22937000.02232508</v>
      </c>
      <c r="G363" s="1938">
        <f t="shared" si="18"/>
        <v>22637000.047672443</v>
      </c>
    </row>
    <row r="364" spans="3:7" ht="16.899999999999999" customHeight="1" thickBot="1" x14ac:dyDescent="0.3">
      <c r="C364" s="1619" t="s">
        <v>24</v>
      </c>
      <c r="D364" s="1632"/>
      <c r="E364" s="1933">
        <f>E363/D363-1</f>
        <v>-4.9393155044383796E-3</v>
      </c>
      <c r="F364" s="1933">
        <f>F363/E363-1</f>
        <v>3.9519601484140354E-2</v>
      </c>
      <c r="G364" s="1933">
        <f>G363/F363-1</f>
        <v>-1.3079303063200931E-2</v>
      </c>
    </row>
    <row r="365" spans="3:7" ht="19.5" thickBot="1" x14ac:dyDescent="0.3">
      <c r="C365" s="1617" t="s">
        <v>0</v>
      </c>
      <c r="D365" s="1930">
        <f>D46+D81+D104+D134+D167+D190+D223+D253</f>
        <v>16502918</v>
      </c>
      <c r="E365" s="1930">
        <f>E46+E81+E104+E134+E167+E190+E223+E253</f>
        <v>16512918</v>
      </c>
      <c r="F365" s="1930">
        <f>F46+F81+F104+F134+F167+F190+F223+F253</f>
        <v>16402918</v>
      </c>
      <c r="G365" s="1930">
        <f>G46+G81+G104+G134+G167+G190+G223+G253</f>
        <v>16402918</v>
      </c>
    </row>
    <row r="366" spans="3:7" ht="19.5" thickBot="1" x14ac:dyDescent="0.3">
      <c r="C366" s="1617" t="s">
        <v>25</v>
      </c>
      <c r="D366" s="1629"/>
      <c r="E366" s="1933">
        <f>E365/D365-1</f>
        <v>6.0595344411207286E-4</v>
      </c>
      <c r="F366" s="1933">
        <f>F365/E365-1</f>
        <v>-6.6614513558415078E-3</v>
      </c>
      <c r="G366" s="1933">
        <f>G365/F365-1</f>
        <v>0</v>
      </c>
    </row>
    <row r="367" spans="3:7" ht="38.25" thickBot="1" x14ac:dyDescent="0.3">
      <c r="C367" s="1617" t="s">
        <v>49</v>
      </c>
      <c r="D367" s="1930">
        <f>D47+D82+D105+D135+D168+D191+D224+D254</f>
        <v>2659862</v>
      </c>
      <c r="E367" s="1930">
        <f>E47+E82+E105+E135+E168+E191+E224+E254</f>
        <v>2669366</v>
      </c>
      <c r="F367" s="1930">
        <f>F47+F82+F105+F135+F168+F191+F224+F254</f>
        <v>2641459</v>
      </c>
      <c r="G367" s="1930">
        <f>G47+G82+G105+G135+G168+G191+G224+G254</f>
        <v>2641459</v>
      </c>
    </row>
    <row r="368" spans="3:7" ht="57" thickBot="1" x14ac:dyDescent="0.3">
      <c r="C368" s="1617" t="s">
        <v>50</v>
      </c>
      <c r="D368" s="1629"/>
      <c r="E368" s="1933">
        <f>E367/D367-1</f>
        <v>3.5731177030988714E-3</v>
      </c>
      <c r="F368" s="1933">
        <f>F367/E367-1</f>
        <v>-1.0454542389466304E-2</v>
      </c>
      <c r="G368" s="1933">
        <f>G367/F367-1</f>
        <v>0</v>
      </c>
    </row>
    <row r="369" spans="3:7" ht="19.5" thickBot="1" x14ac:dyDescent="0.3">
      <c r="C369" s="1617" t="s">
        <v>1</v>
      </c>
      <c r="D369" s="1930">
        <f>D48+D83+D106+D136+D169+D192+D225+D255</f>
        <v>708800</v>
      </c>
      <c r="E369" s="1930">
        <f>E48+E83+E106+E136+E169+E192+E225+E255</f>
        <v>1027716.0149853134</v>
      </c>
      <c r="F369" s="1930">
        <f>F48+F83+F106+F136+F169+F192+F225+F255</f>
        <v>1340623.0223250808</v>
      </c>
      <c r="G369" s="1930">
        <f>G48+G83+G106+G136+G169+G192+G225+G255</f>
        <v>1250623.047672445</v>
      </c>
    </row>
    <row r="370" spans="3:7" ht="38.25" thickBot="1" x14ac:dyDescent="0.3">
      <c r="C370" s="1617" t="s">
        <v>26</v>
      </c>
      <c r="D370" s="1629"/>
      <c r="E370" s="1933">
        <f>E369/D369-1</f>
        <v>0.44993794439237211</v>
      </c>
      <c r="F370" s="1933">
        <f>F369/E369-1</f>
        <v>0.30446835777317238</v>
      </c>
      <c r="G370" s="1933">
        <f>G369/F369-1</f>
        <v>-6.7132947259511022E-2</v>
      </c>
    </row>
    <row r="371" spans="3:7" ht="19.5" thickBot="1" x14ac:dyDescent="0.3">
      <c r="C371" s="1617" t="s">
        <v>2</v>
      </c>
      <c r="D371" s="1930">
        <f>D49+D84+D107+D137++D170+D193+D226+D256</f>
        <v>0</v>
      </c>
      <c r="E371" s="1930">
        <f>E49+E84+E107+E137++E170+E193+E226+E256</f>
        <v>0</v>
      </c>
      <c r="F371" s="1930">
        <f>F49+F84+F107+F137++F170+F193+F226+F256</f>
        <v>0</v>
      </c>
      <c r="G371" s="1930">
        <f>G49+G84+G107+G137++G170+G193+G226+G256</f>
        <v>0</v>
      </c>
    </row>
    <row r="372" spans="3:7" ht="38.25" thickBot="1" x14ac:dyDescent="0.3">
      <c r="C372" s="1617" t="s">
        <v>27</v>
      </c>
      <c r="D372" s="1629"/>
      <c r="E372" s="1933">
        <v>0</v>
      </c>
      <c r="F372" s="1933">
        <v>0</v>
      </c>
      <c r="G372" s="1933">
        <v>0</v>
      </c>
    </row>
    <row r="373" spans="3:7" ht="38.25" thickBot="1" x14ac:dyDescent="0.3">
      <c r="C373" s="1617" t="s">
        <v>28</v>
      </c>
      <c r="D373" s="1930">
        <f>D50+D85+D108+D138+D171+D194+D227+D257</f>
        <v>0</v>
      </c>
      <c r="E373" s="1930">
        <f>E50+E85+E108+E138+E171+E194+E227+E257</f>
        <v>0</v>
      </c>
      <c r="F373" s="1930">
        <f>F50+F85+F108+F138+F171+F194+F227+F257</f>
        <v>0</v>
      </c>
      <c r="G373" s="1930">
        <f>G50+G85+G108+G138+G171+G194+G227+G257</f>
        <v>0</v>
      </c>
    </row>
    <row r="374" spans="3:7" ht="38.25" thickBot="1" x14ac:dyDescent="0.3">
      <c r="C374" s="1617" t="s">
        <v>29</v>
      </c>
      <c r="D374" s="1629"/>
      <c r="E374" s="1933">
        <v>0</v>
      </c>
      <c r="F374" s="1933">
        <v>0</v>
      </c>
      <c r="G374" s="1933">
        <v>0</v>
      </c>
    </row>
    <row r="375" spans="3:7" ht="19.5" thickBot="1" x14ac:dyDescent="0.3">
      <c r="C375" s="1617" t="s">
        <v>30</v>
      </c>
      <c r="D375" s="1930">
        <f>D51+D86+D109+D139+D172+D195+D228+D258</f>
        <v>0</v>
      </c>
      <c r="E375" s="1930">
        <f>E51+E86+E109+E139+E172+E195+E228+E258</f>
        <v>0</v>
      </c>
      <c r="F375" s="1930">
        <f>F51+F86+F109+F139+F172+F195+F228+F258</f>
        <v>0</v>
      </c>
      <c r="G375" s="1930">
        <f>G51+G86+G109+G139+G172+G195+G228+G258</f>
        <v>0</v>
      </c>
    </row>
    <row r="376" spans="3:7" ht="38.25" thickBot="1" x14ac:dyDescent="0.3">
      <c r="C376" s="1617" t="s">
        <v>31</v>
      </c>
      <c r="D376" s="1629"/>
      <c r="E376" s="1933">
        <v>0</v>
      </c>
      <c r="F376" s="1933">
        <v>0</v>
      </c>
      <c r="G376" s="1933">
        <v>0</v>
      </c>
    </row>
    <row r="377" spans="3:7" ht="38.25" thickBot="1" x14ac:dyDescent="0.3">
      <c r="C377" s="1617" t="s">
        <v>3</v>
      </c>
      <c r="D377" s="1930">
        <f>D52+D87+D110+D140+D173+D196+D229+D259</f>
        <v>545000</v>
      </c>
      <c r="E377" s="1930">
        <f>E52+E87+E110+E140+E173+E196+E229+E259</f>
        <v>585000</v>
      </c>
      <c r="F377" s="1930">
        <f>F52+F87+F110+F140+F173+F196+F229+F259</f>
        <v>615000</v>
      </c>
      <c r="G377" s="1930">
        <f>G52+G87+G110+G140+G173+G196+G229+G259</f>
        <v>705000</v>
      </c>
    </row>
    <row r="378" spans="3:7" ht="57" thickBot="1" x14ac:dyDescent="0.3">
      <c r="C378" s="1617" t="s">
        <v>32</v>
      </c>
      <c r="D378" s="1629"/>
      <c r="E378" s="1933">
        <f>E377/D377-1</f>
        <v>7.3394495412844041E-2</v>
      </c>
      <c r="F378" s="1933">
        <f>F377/E377-1</f>
        <v>5.1282051282051322E-2</v>
      </c>
      <c r="G378" s="1933">
        <f>G377/F377-1</f>
        <v>0.14634146341463405</v>
      </c>
    </row>
    <row r="379" spans="3:7" ht="19.5" thickBot="1" x14ac:dyDescent="0.3">
      <c r="C379" s="1617" t="s">
        <v>18</v>
      </c>
      <c r="D379" s="1930">
        <f>D278+D298+D318+D337+D356</f>
        <v>0</v>
      </c>
      <c r="E379" s="1930">
        <f>E278+E298+E318+E337+E356</f>
        <v>0</v>
      </c>
      <c r="F379" s="1930">
        <f>F278+F298+F318+F337+F356</f>
        <v>0</v>
      </c>
      <c r="G379" s="1930">
        <f>G278+G298+G318+G337+G356</f>
        <v>0</v>
      </c>
    </row>
    <row r="380" spans="3:7" ht="38.25" thickBot="1" x14ac:dyDescent="0.3">
      <c r="C380" s="1617" t="s">
        <v>33</v>
      </c>
      <c r="D380" s="1629"/>
      <c r="E380" s="1933">
        <v>0</v>
      </c>
      <c r="F380" s="1933">
        <v>0</v>
      </c>
      <c r="G380" s="1933">
        <v>0</v>
      </c>
    </row>
    <row r="381" spans="3:7" ht="19.5" thickBot="1" x14ac:dyDescent="0.3">
      <c r="C381" s="1617" t="s">
        <v>19</v>
      </c>
      <c r="D381" s="1930">
        <f>D279+D299+D319+D338+D357</f>
        <v>1757947</v>
      </c>
      <c r="E381" s="1930">
        <f>E279+E299+E319+E338+E357</f>
        <v>1270000</v>
      </c>
      <c r="F381" s="1930">
        <f>F279+F299+F319+F338+F357</f>
        <v>1937000</v>
      </c>
      <c r="G381" s="1930">
        <f>G279+G299+G319+G338+G357</f>
        <v>1637000</v>
      </c>
    </row>
    <row r="382" spans="3:7" ht="38.25" thickBot="1" x14ac:dyDescent="0.3">
      <c r="C382" s="1617" t="s">
        <v>34</v>
      </c>
      <c r="D382" s="1629"/>
      <c r="E382" s="1933">
        <f>E381/D381-1</f>
        <v>-0.27756638852024551</v>
      </c>
      <c r="F382" s="1933">
        <f>F381/E381-1</f>
        <v>0.52519685039370079</v>
      </c>
      <c r="G382" s="1933">
        <f>G381/F381-1</f>
        <v>-0.15487867836861124</v>
      </c>
    </row>
    <row r="383" spans="3:7" ht="19.5" thickBot="1" x14ac:dyDescent="0.3">
      <c r="C383" s="1631" t="s">
        <v>70</v>
      </c>
      <c r="D383" s="1632">
        <f>D363-D362</f>
        <v>0</v>
      </c>
      <c r="E383" s="1632">
        <f t="shared" ref="E383:G383" si="19">E363-E362</f>
        <v>0</v>
      </c>
      <c r="F383" s="1632">
        <f t="shared" si="19"/>
        <v>0</v>
      </c>
      <c r="G383" s="1632">
        <f t="shared" si="19"/>
        <v>0</v>
      </c>
    </row>
    <row r="384" spans="3:7" ht="57" thickBot="1" x14ac:dyDescent="0.3">
      <c r="C384" s="1611" t="s">
        <v>55</v>
      </c>
      <c r="D384" s="1930">
        <v>23660</v>
      </c>
      <c r="E384" s="1930">
        <v>23660</v>
      </c>
      <c r="F384" s="1930">
        <v>23660</v>
      </c>
      <c r="G384" s="1930">
        <v>23660</v>
      </c>
    </row>
    <row r="385" spans="3:7" ht="75.75" thickBot="1" x14ac:dyDescent="0.3">
      <c r="C385" s="1611" t="s">
        <v>591</v>
      </c>
      <c r="D385" s="1930">
        <v>1200</v>
      </c>
      <c r="E385" s="1930">
        <v>1200</v>
      </c>
      <c r="F385" s="1930">
        <v>1200</v>
      </c>
      <c r="G385" s="1930">
        <v>1200</v>
      </c>
    </row>
  </sheetData>
  <mergeCells count="105">
    <mergeCell ref="D343:G343"/>
    <mergeCell ref="D344:G344"/>
    <mergeCell ref="C345:C346"/>
    <mergeCell ref="C8:G8"/>
    <mergeCell ref="D121:G121"/>
    <mergeCell ref="C66:G66"/>
    <mergeCell ref="C118:G118"/>
    <mergeCell ref="C119:G119"/>
    <mergeCell ref="D120:G120"/>
    <mergeCell ref="C10:C11"/>
    <mergeCell ref="D25:G25"/>
    <mergeCell ref="C123:C124"/>
    <mergeCell ref="C131:G131"/>
    <mergeCell ref="C132:C133"/>
    <mergeCell ref="C70:C71"/>
    <mergeCell ref="D340:G340"/>
    <mergeCell ref="D342:G342"/>
    <mergeCell ref="C207:G207"/>
    <mergeCell ref="C208:G208"/>
    <mergeCell ref="D209:G209"/>
    <mergeCell ref="C151:G151"/>
    <mergeCell ref="C152:G152"/>
    <mergeCell ref="D153:G153"/>
    <mergeCell ref="D210:G210"/>
    <mergeCell ref="C35:C36"/>
    <mergeCell ref="C295:G295"/>
    <mergeCell ref="C296:C297"/>
    <mergeCell ref="C301:C303"/>
    <mergeCell ref="D301:G303"/>
    <mergeCell ref="C334:G334"/>
    <mergeCell ref="C315:G315"/>
    <mergeCell ref="C7:G7"/>
    <mergeCell ref="D264:G264"/>
    <mergeCell ref="C179:C180"/>
    <mergeCell ref="D265:G265"/>
    <mergeCell ref="D266:G266"/>
    <mergeCell ref="C267:C268"/>
    <mergeCell ref="D321:G321"/>
    <mergeCell ref="D325:G325"/>
    <mergeCell ref="C326:C327"/>
    <mergeCell ref="D143:G143"/>
    <mergeCell ref="C144:G144"/>
    <mergeCell ref="D122:G122"/>
    <mergeCell ref="C200:G200"/>
    <mergeCell ref="D232:G232"/>
    <mergeCell ref="C233:G233"/>
    <mergeCell ref="D236:G236"/>
    <mergeCell ref="C2:G2"/>
    <mergeCell ref="D55:G55"/>
    <mergeCell ref="C56:G56"/>
    <mergeCell ref="D113:G113"/>
    <mergeCell ref="C114:G114"/>
    <mergeCell ref="D90:G90"/>
    <mergeCell ref="D91:G91"/>
    <mergeCell ref="D92:G92"/>
    <mergeCell ref="C93:C94"/>
    <mergeCell ref="C26:G26"/>
    <mergeCell ref="C9:G9"/>
    <mergeCell ref="C65:G65"/>
    <mergeCell ref="D67:G67"/>
    <mergeCell ref="D68:G68"/>
    <mergeCell ref="D69:G69"/>
    <mergeCell ref="D3:G3"/>
    <mergeCell ref="D4:G4"/>
    <mergeCell ref="D5:G5"/>
    <mergeCell ref="C30:G30"/>
    <mergeCell ref="C31:G31"/>
    <mergeCell ref="D32:G32"/>
    <mergeCell ref="D33:G33"/>
    <mergeCell ref="D34:G34"/>
    <mergeCell ref="C6:G6"/>
    <mergeCell ref="D359:G359"/>
    <mergeCell ref="C238:G238"/>
    <mergeCell ref="D285:G285"/>
    <mergeCell ref="D286:G286"/>
    <mergeCell ref="C287:C288"/>
    <mergeCell ref="D284:G284"/>
    <mergeCell ref="C275:G275"/>
    <mergeCell ref="C250:D250"/>
    <mergeCell ref="C237:G237"/>
    <mergeCell ref="C276:C277"/>
    <mergeCell ref="C281:C283"/>
    <mergeCell ref="D281:G283"/>
    <mergeCell ref="C262:G262"/>
    <mergeCell ref="C263:G263"/>
    <mergeCell ref="D239:G239"/>
    <mergeCell ref="D240:G240"/>
    <mergeCell ref="D241:G241"/>
    <mergeCell ref="C242:C243"/>
    <mergeCell ref="D304:G304"/>
    <mergeCell ref="D305:G305"/>
    <mergeCell ref="D306:G306"/>
    <mergeCell ref="C307:C308"/>
    <mergeCell ref="D323:G323"/>
    <mergeCell ref="D324:G324"/>
    <mergeCell ref="D154:G154"/>
    <mergeCell ref="D211:G211"/>
    <mergeCell ref="C212:C213"/>
    <mergeCell ref="C156:C157"/>
    <mergeCell ref="D176:G176"/>
    <mergeCell ref="D199:G199"/>
    <mergeCell ref="D177:G177"/>
    <mergeCell ref="D178:G178"/>
    <mergeCell ref="C220:D220"/>
    <mergeCell ref="D155:G155"/>
  </mergeCells>
  <printOptions horizontalCentered="1" verticalCentered="1"/>
  <pageMargins left="0.11811023622047245" right="0.11811023622047245" top="0.43307086614173229" bottom="0.39370078740157483" header="0.31496062992125984" footer="0.31496062992125984"/>
  <pageSetup scale="78" orientation="portrait"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23</vt:i4>
      </vt:variant>
    </vt:vector>
  </HeadingPairs>
  <TitlesOfParts>
    <vt:vector size="54" baseType="lpstr">
      <vt:lpstr>Gr.11 _Misioni_MASR _ 2019-2021</vt:lpstr>
      <vt:lpstr>01110 PM Dek Pol Prog 2019-2021</vt:lpstr>
      <vt:lpstr>01110 PM Form 2 PolAktual 19-21</vt:lpstr>
      <vt:lpstr>Misioni 2019-2021</vt:lpstr>
      <vt:lpstr>Formati 2.1 01110</vt:lpstr>
      <vt:lpstr>01110 F3 Politika Reja 19-21</vt:lpstr>
      <vt:lpstr>09120 AB_DeklaraPP 2019-2021 </vt:lpstr>
      <vt:lpstr>09120 AB_Form 2 kerk ligjo19-21</vt:lpstr>
      <vt:lpstr>Formati 2.1 Arsimi Baze</vt:lpstr>
      <vt:lpstr>09120 AB_Form 3 Ker Reja  19-21</vt:lpstr>
      <vt:lpstr>09230 AM _Deklar PPS 2019-2021</vt:lpstr>
      <vt:lpstr>09230_AM_Form 2 Kerk Ligj19-21</vt:lpstr>
      <vt:lpstr>Formati 2.1 Arsimi Mesem</vt:lpstr>
      <vt:lpstr>09230_AM_Form 3 Kerk Reja 19-21</vt:lpstr>
      <vt:lpstr>09450_IAL_Dekl PPS 2019-2021</vt:lpstr>
      <vt:lpstr>09450 IAL F 2 P Aktual 19-21 </vt:lpstr>
      <vt:lpstr>Formati 2.1 Arsimi Larte</vt:lpstr>
      <vt:lpstr>09450 IAL F3 Pol rendesi 19-21 </vt:lpstr>
      <vt:lpstr>09770_Deklarata KSh 2019-2021</vt:lpstr>
      <vt:lpstr>09770 KSH _F 2 Pol Aktua 19-21</vt:lpstr>
      <vt:lpstr>Formati 2.1 Fonde per Shkencen</vt:lpstr>
      <vt:lpstr>09770 KSH _F 3 Pol Reja 19-21</vt:lpstr>
      <vt:lpstr>08140 F 2 Polit Akt ligjore 19-</vt:lpstr>
      <vt:lpstr>PSR0814 Form 2.1Tavan 2019-2021</vt:lpstr>
      <vt:lpstr>08140_Deklata_PPS 2019-2021</vt:lpstr>
      <vt:lpstr>Formati 2.1 Sporti dhe Rinia</vt:lpstr>
      <vt:lpstr>Formati 3 Politika te reja</vt:lpstr>
      <vt:lpstr>F.4. Alokimi i tavan 2019-2021</vt:lpstr>
      <vt:lpstr>F. 5. Invest vazhd 2018-2021 MF</vt:lpstr>
      <vt:lpstr>Formati nr.6. Investimet Reja 1</vt:lpstr>
      <vt:lpstr>Detajimi 2018-2021 MF</vt:lpstr>
      <vt:lpstr>'01110 PM Dek Pol Prog 2019-2021'!Print_Area</vt:lpstr>
      <vt:lpstr>'01110 PM Form 2 PolAktual 19-21'!Print_Area</vt:lpstr>
      <vt:lpstr>'09120 AB_Form 2 kerk ligjo19-21'!Print_Area</vt:lpstr>
      <vt:lpstr>'09120 AB_Form 3 Ker Reja  19-21'!Print_Area</vt:lpstr>
      <vt:lpstr>'09230 AM _Deklar PPS 2019-2021'!Print_Area</vt:lpstr>
      <vt:lpstr>'09230_AM_Form 2 Kerk Ligj19-21'!Print_Area</vt:lpstr>
      <vt:lpstr>'09230_AM_Form 3 Kerk Reja 19-21'!Print_Area</vt:lpstr>
      <vt:lpstr>'09770 KSH _F 2 Pol Aktua 19-21'!Print_Area</vt:lpstr>
      <vt:lpstr>'09770 KSH _F 3 Pol Reja 19-21'!Print_Area</vt:lpstr>
      <vt:lpstr>'Detajimi 2018-2021 MF'!Print_Area</vt:lpstr>
      <vt:lpstr>'F. 5. Invest vazhd 2018-2021 MF'!Print_Area</vt:lpstr>
      <vt:lpstr>'F.4. Alokimi i tavan 2019-2021'!Print_Area</vt:lpstr>
      <vt:lpstr>'Formati 2.1 01110'!Print_Area</vt:lpstr>
      <vt:lpstr>'Formati 2.1 Arsimi Baze'!Print_Area</vt:lpstr>
      <vt:lpstr>'Formati 2.1 Arsimi Mesem'!Print_Area</vt:lpstr>
      <vt:lpstr>'Formati 2.1 Sporti dhe Rinia'!Print_Area</vt:lpstr>
      <vt:lpstr>'Formati nr.6. Investimet Reja 1'!Print_Area</vt:lpstr>
      <vt:lpstr>'Gr.11 _Misioni_MASR _ 2019-2021'!Print_Area</vt:lpstr>
      <vt:lpstr>'Misioni 2019-2021'!Print_Area</vt:lpstr>
      <vt:lpstr>'PSR0814 Form 2.1Tavan 2019-2021'!Print_Area</vt:lpstr>
      <vt:lpstr>'Detajimi 2018-2021 MF'!Print_Titles</vt:lpstr>
      <vt:lpstr>'F. 5. Invest vazhd 2018-2021 MF'!Print_Titles</vt:lpstr>
      <vt:lpstr>'Formati nr.6. Investimet Reja 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Ina Dhaskali</cp:lastModifiedBy>
  <cp:lastPrinted>2018-06-13T06:46:13Z</cp:lastPrinted>
  <dcterms:created xsi:type="dcterms:W3CDTF">2018-03-05T12:29:59Z</dcterms:created>
  <dcterms:modified xsi:type="dcterms:W3CDTF">2018-07-09T09:17:48Z</dcterms:modified>
</cp:coreProperties>
</file>